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Doris\Desktop\"/>
    </mc:Choice>
  </mc:AlternateContent>
  <xr:revisionPtr revIDLastSave="0" documentId="13_ncr:1_{EA8201F6-C629-40DA-BBD7-E027A539477B}" xr6:coauthVersionLast="45" xr6:coauthVersionMax="45" xr10:uidLastSave="{00000000-0000-0000-0000-000000000000}"/>
  <bookViews>
    <workbookView xWindow="-120" yWindow="-120" windowWidth="29040" windowHeight="17640" tabRatio="43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C59" i="1"/>
  <c r="C48" i="1"/>
  <c r="C64" i="1"/>
  <c r="C53" i="1" l="1"/>
  <c r="B3" i="1" l="1"/>
  <c r="B4" i="1"/>
  <c r="B6" i="1"/>
  <c r="B5" i="1"/>
  <c r="B7" i="1"/>
  <c r="B10" i="1"/>
  <c r="B8" i="1"/>
  <c r="B9" i="1"/>
  <c r="B12" i="1"/>
  <c r="B11" i="1"/>
  <c r="B13" i="1"/>
  <c r="B15" i="1"/>
  <c r="B16" i="1"/>
  <c r="B18" i="1"/>
  <c r="B19" i="1"/>
  <c r="B17" i="1"/>
  <c r="B14" i="1"/>
  <c r="B21" i="1"/>
  <c r="B23" i="1"/>
  <c r="B24" i="1"/>
  <c r="B26" i="1"/>
  <c r="B27" i="1"/>
  <c r="B22" i="1"/>
  <c r="B20" i="1"/>
  <c r="B28" i="1"/>
  <c r="B31" i="1"/>
  <c r="B33" i="1"/>
  <c r="B29" i="1"/>
  <c r="B30" i="1"/>
  <c r="B35" i="1"/>
  <c r="B34" i="1"/>
  <c r="B36" i="1"/>
  <c r="B38" i="1"/>
  <c r="B41" i="1"/>
  <c r="B40" i="1"/>
  <c r="B43" i="1"/>
  <c r="B42" i="1"/>
  <c r="B25" i="1"/>
  <c r="B44" i="1"/>
  <c r="B47" i="1"/>
  <c r="B39" i="1"/>
  <c r="B49" i="1"/>
  <c r="B37" i="1"/>
  <c r="B45" i="1"/>
  <c r="B46" i="1"/>
  <c r="B32" i="1"/>
  <c r="B51" i="1"/>
  <c r="B50" i="1"/>
  <c r="B55" i="1"/>
  <c r="B52" i="1"/>
  <c r="B57" i="1"/>
  <c r="B60" i="1"/>
  <c r="B61" i="1"/>
  <c r="B62" i="1"/>
  <c r="B65" i="1"/>
  <c r="B63" i="1"/>
  <c r="B67" i="1"/>
  <c r="B69" i="1"/>
  <c r="B70" i="1"/>
  <c r="B72" i="1"/>
  <c r="B73" i="1"/>
  <c r="B66" i="1"/>
  <c r="B59" i="1"/>
  <c r="B68" i="1"/>
  <c r="B76" i="1"/>
  <c r="B78" i="1"/>
  <c r="B79" i="1"/>
  <c r="B48" i="1"/>
  <c r="B54" i="1"/>
  <c r="B71" i="1"/>
  <c r="B81" i="1"/>
  <c r="B56" i="1"/>
  <c r="B53" i="1"/>
  <c r="B83" i="1"/>
  <c r="B85" i="1"/>
  <c r="B86" i="1"/>
  <c r="B87" i="1"/>
  <c r="B74" i="1"/>
  <c r="B91" i="1"/>
  <c r="B95" i="1"/>
  <c r="B96" i="1"/>
  <c r="B58" i="1"/>
  <c r="B97" i="1"/>
  <c r="B98" i="1"/>
  <c r="B99" i="1"/>
  <c r="B100" i="1"/>
  <c r="B82" i="1"/>
  <c r="B102" i="1"/>
  <c r="B103" i="1"/>
  <c r="B94" i="1"/>
  <c r="B89" i="1"/>
  <c r="B106" i="1"/>
  <c r="B107" i="1"/>
  <c r="B108" i="1"/>
  <c r="B110" i="1"/>
  <c r="B75" i="1"/>
  <c r="B88" i="1"/>
  <c r="B111" i="1"/>
  <c r="B93" i="1"/>
  <c r="B112" i="1"/>
  <c r="B113" i="1"/>
  <c r="B114" i="1"/>
  <c r="B115" i="1"/>
  <c r="B116" i="1"/>
  <c r="B117" i="1"/>
  <c r="B119" i="1"/>
  <c r="B120" i="1"/>
  <c r="B121" i="1"/>
  <c r="B122" i="1"/>
  <c r="B125" i="1"/>
  <c r="B104" i="1"/>
  <c r="B126" i="1"/>
  <c r="B127" i="1"/>
  <c r="B128" i="1"/>
  <c r="B129" i="1"/>
  <c r="B118" i="1"/>
  <c r="B131" i="1"/>
  <c r="B132" i="1"/>
  <c r="B80" i="1"/>
  <c r="B90" i="1"/>
  <c r="B134" i="1"/>
  <c r="B137" i="1"/>
  <c r="B124" i="1"/>
  <c r="B138" i="1"/>
  <c r="B139" i="1"/>
  <c r="B140" i="1"/>
  <c r="B133" i="1"/>
  <c r="B105" i="1"/>
  <c r="B142" i="1"/>
  <c r="B135" i="1"/>
  <c r="B92" i="1"/>
  <c r="B143" i="1"/>
  <c r="B145" i="1"/>
  <c r="B146" i="1"/>
  <c r="B147" i="1"/>
  <c r="B84" i="1"/>
  <c r="B148" i="1"/>
  <c r="B101" i="1"/>
  <c r="B150" i="1"/>
  <c r="B77" i="1"/>
  <c r="B151" i="1"/>
  <c r="B152" i="1"/>
  <c r="B153" i="1"/>
  <c r="B155" i="1"/>
  <c r="B156" i="1"/>
  <c r="B157" i="1"/>
  <c r="B158" i="1"/>
  <c r="B159" i="1"/>
  <c r="B160" i="1"/>
  <c r="B161" i="1"/>
  <c r="B136" i="1"/>
  <c r="B162" i="1"/>
  <c r="B163" i="1"/>
  <c r="B164" i="1"/>
  <c r="B165" i="1"/>
  <c r="B166" i="1"/>
  <c r="B144" i="1"/>
  <c r="B167" i="1"/>
  <c r="B168" i="1"/>
  <c r="B169" i="1"/>
  <c r="B170" i="1"/>
  <c r="B154" i="1"/>
  <c r="B171" i="1"/>
  <c r="B130" i="1"/>
  <c r="B172" i="1"/>
  <c r="B173" i="1"/>
  <c r="B174" i="1"/>
  <c r="B176" i="1"/>
  <c r="B177" i="1"/>
  <c r="B178" i="1"/>
  <c r="B179" i="1"/>
  <c r="B181" i="1"/>
  <c r="B109" i="1"/>
  <c r="B182" i="1"/>
  <c r="B183" i="1"/>
  <c r="B184" i="1"/>
  <c r="B185" i="1"/>
  <c r="B186" i="1"/>
  <c r="B187" i="1"/>
  <c r="B188" i="1"/>
  <c r="B189" i="1"/>
  <c r="B191" i="1"/>
  <c r="B192" i="1"/>
  <c r="B193" i="1"/>
  <c r="B149" i="1"/>
  <c r="B194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175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180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50" i="1"/>
  <c r="B251" i="1"/>
  <c r="B195" i="1"/>
  <c r="B196" i="1"/>
  <c r="B253" i="1"/>
  <c r="B254" i="1"/>
  <c r="B255" i="1"/>
  <c r="B256" i="1"/>
  <c r="B257" i="1"/>
  <c r="B258" i="1"/>
  <c r="B259" i="1"/>
  <c r="B260" i="1"/>
  <c r="B190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6" i="1"/>
  <c r="B297" i="1"/>
  <c r="B252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20" i="1"/>
  <c r="B321" i="1"/>
  <c r="B322" i="1"/>
  <c r="B323" i="1"/>
  <c r="B325" i="1"/>
  <c r="B261" i="1"/>
  <c r="B326" i="1"/>
  <c r="B327" i="1"/>
  <c r="B328" i="1"/>
  <c r="B329" i="1"/>
  <c r="B262" i="1"/>
  <c r="B330" i="1"/>
  <c r="B331" i="1"/>
  <c r="B332" i="1"/>
  <c r="B333" i="1"/>
  <c r="B334" i="1"/>
  <c r="B213" i="1"/>
  <c r="B335" i="1"/>
  <c r="B336" i="1"/>
  <c r="B337" i="1"/>
  <c r="B338" i="1"/>
  <c r="B214" i="1"/>
  <c r="B349" i="1"/>
  <c r="B350" i="1"/>
  <c r="B351" i="1"/>
  <c r="B352" i="1"/>
  <c r="B353" i="1"/>
  <c r="B354" i="1"/>
  <c r="B355" i="1"/>
  <c r="B356" i="1"/>
  <c r="B141" i="1"/>
  <c r="B357" i="1"/>
  <c r="B248" i="1"/>
  <c r="B35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24" i="1"/>
  <c r="B123" i="1"/>
  <c r="B197" i="1"/>
  <c r="B264" i="1"/>
  <c r="B215" i="1"/>
  <c r="B339" i="1"/>
  <c r="B265" i="1"/>
  <c r="B216" i="1"/>
  <c r="B340" i="1"/>
  <c r="B266" i="1"/>
  <c r="B64" i="1"/>
  <c r="B319" i="1"/>
  <c r="B294" i="1"/>
  <c r="B295" i="1"/>
  <c r="B249" i="1"/>
  <c r="B298" i="1"/>
  <c r="B263" i="1"/>
  <c r="B341" i="1"/>
  <c r="B342" i="1"/>
  <c r="B343" i="1"/>
  <c r="B344" i="1"/>
  <c r="B359" i="1"/>
  <c r="B360" i="1"/>
  <c r="B361" i="1"/>
  <c r="B362" i="1"/>
  <c r="B267" i="1"/>
  <c r="B363" i="1"/>
  <c r="B364" i="1"/>
  <c r="B365" i="1"/>
  <c r="B366" i="1"/>
  <c r="B367" i="1"/>
  <c r="B368" i="1"/>
  <c r="B345" i="1"/>
  <c r="B346" i="1"/>
  <c r="B347" i="1"/>
  <c r="B348" i="1"/>
  <c r="B2" i="1"/>
  <c r="C267" i="1"/>
  <c r="C263" i="1"/>
  <c r="C249" i="1"/>
  <c r="C266" i="1"/>
  <c r="C216" i="1"/>
  <c r="C265" i="1"/>
  <c r="C215" i="1"/>
  <c r="C264" i="1"/>
  <c r="C197" i="1"/>
  <c r="C123" i="1"/>
  <c r="C141" i="1"/>
  <c r="C149" i="1"/>
  <c r="C109" i="1"/>
  <c r="C130" i="1"/>
  <c r="C136" i="1"/>
  <c r="C77" i="1"/>
  <c r="C101" i="1"/>
  <c r="C84" i="1"/>
  <c r="C92" i="1"/>
  <c r="C105" i="1"/>
  <c r="C90" i="1"/>
  <c r="C80" i="1"/>
  <c r="C104" i="1"/>
  <c r="C93" i="1"/>
  <c r="C88" i="1"/>
  <c r="C75" i="1"/>
  <c r="C89" i="1"/>
  <c r="C82" i="1"/>
  <c r="C58" i="1"/>
  <c r="C74" i="1"/>
  <c r="C56" i="1"/>
  <c r="C54" i="1"/>
  <c r="C52" i="1"/>
  <c r="C50" i="1"/>
  <c r="C32" i="1"/>
  <c r="C37" i="1"/>
  <c r="C39" i="1"/>
  <c r="C25" i="1"/>
  <c r="C30" i="1"/>
  <c r="C29" i="1"/>
  <c r="C31" i="1"/>
  <c r="C20" i="1"/>
  <c r="C22" i="1"/>
  <c r="C14" i="1"/>
  <c r="C17" i="1"/>
  <c r="C15" i="1"/>
  <c r="C11" i="1"/>
  <c r="C9" i="1"/>
  <c r="C8" i="1"/>
  <c r="C5" i="1"/>
  <c r="C6" i="1"/>
  <c r="C4" i="1"/>
  <c r="C3" i="1"/>
  <c r="D48" i="1" l="1"/>
  <c r="D175" i="1"/>
  <c r="D180" i="1"/>
  <c r="D196" i="1"/>
  <c r="D101" i="1"/>
  <c r="D149" i="1"/>
  <c r="D211" i="1"/>
  <c r="D259" i="1"/>
  <c r="D189" i="1"/>
  <c r="D231" i="1"/>
  <c r="D224" i="1"/>
  <c r="D245" i="1"/>
  <c r="D109" i="1"/>
  <c r="D144" i="1"/>
  <c r="D80" i="1"/>
  <c r="D77" i="1"/>
  <c r="D217" i="1"/>
  <c r="D202" i="1"/>
  <c r="D191" i="1"/>
  <c r="D84" i="1"/>
  <c r="D136" i="1"/>
  <c r="D53" i="1"/>
  <c r="D147" i="1"/>
  <c r="D168" i="1"/>
  <c r="D88" i="1"/>
  <c r="D93" i="1"/>
  <c r="D58" i="1"/>
  <c r="D90" i="1"/>
  <c r="D105" i="1"/>
  <c r="D104" i="1"/>
  <c r="D74" i="1"/>
  <c r="D133" i="1"/>
  <c r="D124" i="1"/>
  <c r="D71" i="1"/>
  <c r="D118" i="1"/>
  <c r="D100" i="1"/>
  <c r="D72" i="1"/>
  <c r="D125" i="1"/>
  <c r="D59" i="1"/>
  <c r="D75" i="1"/>
  <c r="D82" i="1"/>
  <c r="D54" i="1"/>
  <c r="D97" i="1"/>
  <c r="D99" i="1"/>
  <c r="D25" i="1"/>
  <c r="D56" i="1"/>
  <c r="D66" i="1"/>
  <c r="D32" i="1"/>
  <c r="D50" i="1"/>
  <c r="D51" i="1"/>
  <c r="D36" i="1"/>
  <c r="D52" i="1"/>
  <c r="D46" i="1"/>
  <c r="D57" i="1"/>
  <c r="D60" i="1"/>
  <c r="D39" i="1"/>
  <c r="D49" i="1"/>
  <c r="D37" i="1"/>
  <c r="D30" i="1"/>
  <c r="D47" i="1"/>
  <c r="D44" i="1"/>
  <c r="D29" i="1"/>
  <c r="D42" i="1"/>
  <c r="D35" i="1"/>
  <c r="D34" i="1"/>
  <c r="D33" i="1"/>
  <c r="D20" i="1"/>
  <c r="D28" i="1"/>
  <c r="D17" i="1"/>
  <c r="D27" i="1"/>
  <c r="D26" i="1"/>
  <c r="D23" i="1"/>
  <c r="D14" i="1"/>
  <c r="D15" i="1"/>
  <c r="D5" i="1"/>
  <c r="D9" i="1"/>
  <c r="D8" i="1"/>
  <c r="D10" i="1"/>
  <c r="D6" i="1"/>
  <c r="D7" i="1"/>
  <c r="D4" i="1"/>
  <c r="D2" i="1"/>
  <c r="D3" i="1"/>
  <c r="E3" i="1"/>
  <c r="F3" i="1"/>
  <c r="G3" i="1"/>
  <c r="H3" i="1"/>
  <c r="E2" i="1"/>
  <c r="F2" i="1"/>
  <c r="G2" i="1"/>
  <c r="H2" i="1"/>
  <c r="E4" i="1"/>
  <c r="F4" i="1"/>
  <c r="G4" i="1"/>
  <c r="H4" i="1"/>
  <c r="E7" i="1"/>
  <c r="F7" i="1"/>
  <c r="G7" i="1"/>
  <c r="H7" i="1"/>
  <c r="E6" i="1"/>
  <c r="F6" i="1"/>
  <c r="G6" i="1"/>
  <c r="H6" i="1"/>
  <c r="E10" i="1"/>
  <c r="F10" i="1"/>
  <c r="G10" i="1"/>
  <c r="H10" i="1"/>
  <c r="E11" i="1"/>
  <c r="F11" i="1"/>
  <c r="G11" i="1"/>
  <c r="H11" i="1"/>
  <c r="E13" i="1"/>
  <c r="F13" i="1"/>
  <c r="G13" i="1"/>
  <c r="H13" i="1"/>
  <c r="E12" i="1"/>
  <c r="F12" i="1"/>
  <c r="G12" i="1"/>
  <c r="H12" i="1"/>
  <c r="E8" i="1"/>
  <c r="F8" i="1"/>
  <c r="G8" i="1"/>
  <c r="H8" i="1"/>
  <c r="E9" i="1"/>
  <c r="F9" i="1"/>
  <c r="G9" i="1"/>
  <c r="H9" i="1"/>
  <c r="E5" i="1"/>
  <c r="F5" i="1"/>
  <c r="G5" i="1"/>
  <c r="H5" i="1"/>
  <c r="E15" i="1"/>
  <c r="F15" i="1"/>
  <c r="G15" i="1"/>
  <c r="H15" i="1"/>
  <c r="E16" i="1"/>
  <c r="F16" i="1"/>
  <c r="G16" i="1"/>
  <c r="H16" i="1"/>
  <c r="E19" i="1"/>
  <c r="F19" i="1"/>
  <c r="G19" i="1"/>
  <c r="E21" i="1"/>
  <c r="F21" i="1"/>
  <c r="H21" i="1"/>
  <c r="E14" i="1"/>
  <c r="F14" i="1"/>
  <c r="G14" i="1"/>
  <c r="H14" i="1"/>
  <c r="E22" i="1"/>
  <c r="F22" i="1"/>
  <c r="G22" i="1"/>
  <c r="H22" i="1"/>
  <c r="E23" i="1"/>
  <c r="F23" i="1"/>
  <c r="G23" i="1"/>
  <c r="H23" i="1"/>
  <c r="F26" i="1"/>
  <c r="G26" i="1"/>
  <c r="H26" i="1"/>
  <c r="E27" i="1"/>
  <c r="F27" i="1"/>
  <c r="G27" i="1"/>
  <c r="H27" i="1"/>
  <c r="E17" i="1"/>
  <c r="F17" i="1"/>
  <c r="G17" i="1"/>
  <c r="H17" i="1"/>
  <c r="E31" i="1"/>
  <c r="F31" i="1"/>
  <c r="G31" i="1"/>
  <c r="H31" i="1"/>
  <c r="E28" i="1"/>
  <c r="F28" i="1"/>
  <c r="G28" i="1"/>
  <c r="H28" i="1"/>
  <c r="E20" i="1"/>
  <c r="F20" i="1"/>
  <c r="G20" i="1"/>
  <c r="H20" i="1"/>
  <c r="E33" i="1"/>
  <c r="G33" i="1"/>
  <c r="G38" i="1"/>
  <c r="H38" i="1"/>
  <c r="I38" i="1"/>
  <c r="J38" i="1"/>
  <c r="E35" i="1"/>
  <c r="F35" i="1"/>
  <c r="E41" i="1"/>
  <c r="F41" i="1"/>
  <c r="G41" i="1"/>
  <c r="H41" i="1"/>
  <c r="E43" i="1"/>
  <c r="F43" i="1"/>
  <c r="G43" i="1"/>
  <c r="H43" i="1"/>
  <c r="E40" i="1"/>
  <c r="F40" i="1"/>
  <c r="G40" i="1"/>
  <c r="H40" i="1"/>
  <c r="E42" i="1"/>
  <c r="F42" i="1"/>
  <c r="G42" i="1"/>
  <c r="H42" i="1"/>
  <c r="E45" i="1"/>
  <c r="F45" i="1"/>
  <c r="G45" i="1"/>
  <c r="E29" i="1"/>
  <c r="F29" i="1"/>
  <c r="G29" i="1"/>
  <c r="H29" i="1"/>
  <c r="E44" i="1"/>
  <c r="F44" i="1"/>
  <c r="G44" i="1"/>
  <c r="H44" i="1"/>
  <c r="F55" i="1"/>
  <c r="G55" i="1"/>
  <c r="H55" i="1"/>
  <c r="E47" i="1"/>
  <c r="F47" i="1"/>
  <c r="G47" i="1"/>
  <c r="E30" i="1"/>
  <c r="F30" i="1"/>
  <c r="G30" i="1"/>
  <c r="H61" i="1"/>
  <c r="E62" i="1"/>
  <c r="F62" i="1"/>
  <c r="G62" i="1"/>
  <c r="H62" i="1"/>
  <c r="E37" i="1"/>
  <c r="F37" i="1"/>
  <c r="E49" i="1"/>
  <c r="F49" i="1"/>
  <c r="G49" i="1"/>
  <c r="H65" i="1"/>
  <c r="E63" i="1"/>
  <c r="F63" i="1"/>
  <c r="H63" i="1"/>
  <c r="E39" i="1"/>
  <c r="F39" i="1"/>
  <c r="G39" i="1"/>
  <c r="H39" i="1"/>
  <c r="F67" i="1"/>
  <c r="G67" i="1"/>
  <c r="H67" i="1"/>
  <c r="F69" i="1"/>
  <c r="G69" i="1"/>
  <c r="H69" i="1"/>
  <c r="E70" i="1"/>
  <c r="F70" i="1"/>
  <c r="G70" i="1"/>
  <c r="H70" i="1"/>
  <c r="F60" i="1"/>
  <c r="H60" i="1"/>
  <c r="E57" i="1"/>
  <c r="E46" i="1"/>
  <c r="F46" i="1"/>
  <c r="E68" i="1"/>
  <c r="F68" i="1"/>
  <c r="G68" i="1"/>
  <c r="H68" i="1"/>
  <c r="H76" i="1"/>
  <c r="E78" i="1"/>
  <c r="F78" i="1"/>
  <c r="G78" i="1"/>
  <c r="H78" i="1"/>
  <c r="F79" i="1"/>
  <c r="G79" i="1"/>
  <c r="E52" i="1"/>
  <c r="G52" i="1"/>
  <c r="E36" i="1"/>
  <c r="F36" i="1"/>
  <c r="E51" i="1"/>
  <c r="F51" i="1"/>
  <c r="G51" i="1"/>
  <c r="H51" i="1"/>
  <c r="E50" i="1"/>
  <c r="F50" i="1"/>
  <c r="E81" i="1"/>
  <c r="F81" i="1"/>
  <c r="G81" i="1"/>
  <c r="E32" i="1"/>
  <c r="F32" i="1"/>
  <c r="G32" i="1"/>
  <c r="E83" i="1"/>
  <c r="F83" i="1"/>
  <c r="G83" i="1"/>
  <c r="H83" i="1"/>
  <c r="E66" i="1"/>
  <c r="F66" i="1"/>
  <c r="G66" i="1"/>
  <c r="E56" i="1"/>
  <c r="F56" i="1"/>
  <c r="E102" i="1"/>
  <c r="F102" i="1"/>
  <c r="G102" i="1"/>
  <c r="H102" i="1"/>
  <c r="E103" i="1"/>
  <c r="F103" i="1"/>
  <c r="G103" i="1"/>
  <c r="H103" i="1"/>
  <c r="E25" i="1"/>
  <c r="F89" i="1"/>
  <c r="G89" i="1"/>
  <c r="H89" i="1"/>
  <c r="E106" i="1"/>
  <c r="G106" i="1"/>
  <c r="H106" i="1"/>
  <c r="F107" i="1"/>
  <c r="G107" i="1"/>
  <c r="H110" i="1"/>
  <c r="E94" i="1"/>
  <c r="H108" i="1"/>
  <c r="E113" i="1"/>
  <c r="F113" i="1"/>
  <c r="G113" i="1"/>
  <c r="E99" i="1"/>
  <c r="F99" i="1"/>
  <c r="E97" i="1"/>
  <c r="F97" i="1"/>
  <c r="E114" i="1"/>
  <c r="F114" i="1"/>
  <c r="G114" i="1"/>
  <c r="F115" i="1"/>
  <c r="G115" i="1"/>
  <c r="H115" i="1"/>
  <c r="E116" i="1"/>
  <c r="F116" i="1"/>
  <c r="E54" i="1"/>
  <c r="F54" i="1"/>
  <c r="H117" i="1"/>
  <c r="F119" i="1"/>
  <c r="G119" i="1"/>
  <c r="H119" i="1"/>
  <c r="F120" i="1"/>
  <c r="G120" i="1"/>
  <c r="H120" i="1"/>
  <c r="F121" i="1"/>
  <c r="G121" i="1"/>
  <c r="H121" i="1"/>
  <c r="E82" i="1"/>
  <c r="F82" i="1"/>
  <c r="G82" i="1"/>
  <c r="E126" i="1"/>
  <c r="F126" i="1"/>
  <c r="G126" i="1"/>
  <c r="E75" i="1"/>
  <c r="F75" i="1"/>
  <c r="G75" i="1"/>
  <c r="F128" i="1"/>
  <c r="G128" i="1"/>
  <c r="E59" i="1"/>
  <c r="F59" i="1"/>
  <c r="F129" i="1"/>
  <c r="E132" i="1"/>
  <c r="F132" i="1"/>
  <c r="E134" i="1"/>
  <c r="F134" i="1"/>
  <c r="F122" i="1"/>
  <c r="E138" i="1"/>
  <c r="F138" i="1"/>
  <c r="G138" i="1"/>
  <c r="H140" i="1"/>
  <c r="F125" i="1"/>
  <c r="G125" i="1"/>
  <c r="H125" i="1"/>
  <c r="E72" i="1"/>
  <c r="F92" i="1"/>
  <c r="H92" i="1"/>
  <c r="E100" i="1"/>
  <c r="F100" i="1"/>
  <c r="F143" i="1"/>
  <c r="G143" i="1"/>
  <c r="H143" i="1"/>
  <c r="H145" i="1"/>
  <c r="F146" i="1"/>
  <c r="G146" i="1"/>
  <c r="G139" i="1"/>
  <c r="F118" i="1"/>
  <c r="G118" i="1"/>
  <c r="G150" i="1"/>
  <c r="E135" i="1"/>
  <c r="F135" i="1"/>
  <c r="G135" i="1"/>
  <c r="F151" i="1"/>
  <c r="G151" i="1"/>
  <c r="E71" i="1"/>
  <c r="H71" i="1"/>
  <c r="F153" i="1"/>
  <c r="G153" i="1"/>
  <c r="H153" i="1"/>
  <c r="E155" i="1"/>
  <c r="F160" i="1"/>
  <c r="G160" i="1"/>
  <c r="H160" i="1"/>
  <c r="H162" i="1"/>
  <c r="E124" i="1"/>
  <c r="G124" i="1"/>
  <c r="E133" i="1"/>
  <c r="G133" i="1"/>
  <c r="H164" i="1"/>
  <c r="G165" i="1"/>
  <c r="H165" i="1"/>
  <c r="E74" i="1"/>
  <c r="E104" i="1"/>
  <c r="H170" i="1"/>
  <c r="H171" i="1"/>
  <c r="E105" i="1"/>
  <c r="F105" i="1"/>
  <c r="E90" i="1"/>
  <c r="F90" i="1"/>
  <c r="H90" i="1"/>
  <c r="F130" i="1"/>
  <c r="G130" i="1"/>
  <c r="H130" i="1"/>
  <c r="H172" i="1"/>
  <c r="G174" i="1"/>
  <c r="G176" i="1"/>
  <c r="F177" i="1"/>
  <c r="E58" i="1"/>
  <c r="E167" i="1"/>
  <c r="F167" i="1"/>
  <c r="H167" i="1"/>
  <c r="G178" i="1"/>
  <c r="E179" i="1"/>
  <c r="F179" i="1"/>
  <c r="G182" i="1"/>
  <c r="F183" i="1"/>
  <c r="G183" i="1"/>
  <c r="F184" i="1"/>
  <c r="F185" i="1"/>
  <c r="F186" i="1"/>
  <c r="E93" i="1"/>
  <c r="G187" i="1"/>
  <c r="E154" i="1"/>
  <c r="H154" i="1"/>
  <c r="E88" i="1"/>
  <c r="F88" i="1"/>
  <c r="G193" i="1"/>
  <c r="E200" i="1"/>
  <c r="G200" i="1"/>
  <c r="F201" i="1"/>
  <c r="G201" i="1"/>
  <c r="F207" i="1"/>
  <c r="F208" i="1"/>
  <c r="G212" i="1"/>
  <c r="G219" i="1"/>
  <c r="H219" i="1"/>
  <c r="E221" i="1"/>
  <c r="F221" i="1"/>
  <c r="E168" i="1"/>
  <c r="E147" i="1"/>
  <c r="E223" i="1"/>
  <c r="H225" i="1"/>
  <c r="E227" i="1"/>
  <c r="G227" i="1"/>
  <c r="E181" i="1"/>
  <c r="E228" i="1"/>
  <c r="E53" i="1"/>
  <c r="G229" i="1"/>
  <c r="E230" i="1"/>
  <c r="F230" i="1"/>
  <c r="H232" i="1"/>
  <c r="G233" i="1"/>
  <c r="F234" i="1"/>
  <c r="H234" i="1"/>
  <c r="F236" i="1"/>
  <c r="H237" i="1"/>
  <c r="F239" i="1"/>
  <c r="F241" i="1"/>
  <c r="E244" i="1"/>
  <c r="G250" i="1"/>
  <c r="E195" i="1"/>
  <c r="F195" i="1"/>
  <c r="F253" i="1"/>
  <c r="F254" i="1"/>
  <c r="F255" i="1"/>
  <c r="F256" i="1"/>
  <c r="H256" i="1"/>
  <c r="G258" i="1"/>
  <c r="H258" i="1"/>
  <c r="G260" i="1"/>
  <c r="H268" i="1"/>
  <c r="E204" i="1"/>
  <c r="F204" i="1"/>
  <c r="E269" i="1"/>
  <c r="E206" i="1"/>
  <c r="F206" i="1"/>
  <c r="E136" i="1"/>
  <c r="G276" i="1"/>
  <c r="G277" i="1"/>
  <c r="F282" i="1"/>
  <c r="G285" i="1"/>
  <c r="H286" i="1"/>
  <c r="H287" i="1"/>
  <c r="H291" i="1"/>
  <c r="G292" i="1"/>
  <c r="F299" i="1"/>
  <c r="F300" i="1"/>
  <c r="G247" i="1"/>
  <c r="G301" i="1"/>
  <c r="G302" i="1"/>
  <c r="G303" i="1"/>
  <c r="H304" i="1"/>
  <c r="H305" i="1"/>
  <c r="H306" i="1"/>
  <c r="H307" i="1"/>
  <c r="H308" i="1"/>
  <c r="H309" i="1"/>
  <c r="H310" i="1"/>
  <c r="G320" i="1"/>
  <c r="F325" i="1"/>
  <c r="F261" i="1"/>
  <c r="F190" i="1"/>
  <c r="F326" i="1"/>
  <c r="F327" i="1"/>
  <c r="H328" i="1"/>
  <c r="H329" i="1"/>
  <c r="H262" i="1"/>
  <c r="H330" i="1"/>
  <c r="G349" i="1"/>
  <c r="F350" i="1"/>
  <c r="F351" i="1"/>
  <c r="G352" i="1"/>
  <c r="E369" i="1"/>
  <c r="E84" i="1"/>
  <c r="E370" i="1"/>
  <c r="E222" i="1"/>
  <c r="E218" i="1"/>
  <c r="E371" i="1"/>
  <c r="E372" i="1"/>
  <c r="E191" i="1"/>
  <c r="E373" i="1"/>
  <c r="E374" i="1"/>
  <c r="F375" i="1"/>
  <c r="H376" i="1"/>
  <c r="H377" i="1"/>
  <c r="E382" i="1"/>
  <c r="E383" i="1"/>
  <c r="E202" i="1"/>
  <c r="E384" i="1"/>
  <c r="E385" i="1"/>
  <c r="E386" i="1"/>
</calcChain>
</file>

<file path=xl/sharedStrings.xml><?xml version="1.0" encoding="utf-8"?>
<sst xmlns="http://schemas.openxmlformats.org/spreadsheetml/2006/main" count="388" uniqueCount="387">
  <si>
    <t>Ratsanik</t>
  </si>
  <si>
    <t>km kokku</t>
  </si>
  <si>
    <t>enne 2000</t>
  </si>
  <si>
    <t>Kairit Järv</t>
  </si>
  <si>
    <t>Heigo Rohtla</t>
  </si>
  <si>
    <t>Anne Rohtla</t>
  </si>
  <si>
    <t>Annabel Kaldvee</t>
  </si>
  <si>
    <t>Kaisa Keerd</t>
  </si>
  <si>
    <t>Virge Laur</t>
  </si>
  <si>
    <t>Merilin Kalbre</t>
  </si>
  <si>
    <t>Marian Kikas</t>
  </si>
  <si>
    <t>Berit Truuts</t>
  </si>
  <si>
    <t>Ines Beilmann-Lehtonen</t>
  </si>
  <si>
    <t>Brenda Prants</t>
  </si>
  <si>
    <t>Eliise Laur</t>
  </si>
  <si>
    <t>Sanna Podekrat</t>
  </si>
  <si>
    <t>Egle Kalev</t>
  </si>
  <si>
    <t>Keiu Oras</t>
  </si>
  <si>
    <t>Marilyn Uusna</t>
  </si>
  <si>
    <t>Brit Truuts</t>
  </si>
  <si>
    <t>Katrin Liiv</t>
  </si>
  <si>
    <t>Kaja Tuisk</t>
  </si>
  <si>
    <t>Katrin Mets</t>
  </si>
  <si>
    <t>Elisabeth Kaldvee</t>
  </si>
  <si>
    <t>Grete Kaas</t>
  </si>
  <si>
    <t>Kalli Kalbre</t>
  </si>
  <si>
    <t>Lilian Schönberg</t>
  </si>
  <si>
    <t>Priidu Tikk</t>
  </si>
  <si>
    <t>Jelena Sbitneva</t>
  </si>
  <si>
    <t>Gerli Sein</t>
  </si>
  <si>
    <t>Külli Taro</t>
  </si>
  <si>
    <t>Marja Salomaa</t>
  </si>
  <si>
    <t>Joosep Tikk</t>
  </si>
  <si>
    <t>Margaret Peremees</t>
  </si>
  <si>
    <t>Maria Runno</t>
  </si>
  <si>
    <t>Anniki Kreek</t>
  </si>
  <si>
    <t>Laura Nahkor</t>
  </si>
  <si>
    <t>Peeter Liiv</t>
  </si>
  <si>
    <t>Esti Viilup</t>
  </si>
  <si>
    <t>Eveli Pärna</t>
  </si>
  <si>
    <t>Gerly Pällo</t>
  </si>
  <si>
    <t>Mari Saar</t>
  </si>
  <si>
    <t>Doora Elmi</t>
  </si>
  <si>
    <t>Marii Helen Eek</t>
  </si>
  <si>
    <t>Helina Kalev</t>
  </si>
  <si>
    <t>Kalev Käsperson</t>
  </si>
  <si>
    <t xml:space="preserve">    Mariel Olkonen</t>
  </si>
  <si>
    <t>Johannes Mooste</t>
  </si>
  <si>
    <t>Aivar Taro</t>
  </si>
  <si>
    <t>Sanna Turu</t>
  </si>
  <si>
    <t>Maris Kallo</t>
  </si>
  <si>
    <t>Kadri Kullerkupp</t>
  </si>
  <si>
    <t>Marian Koplimäe</t>
  </si>
  <si>
    <t>Lene Aadli</t>
  </si>
  <si>
    <t>Marko Graverson</t>
  </si>
  <si>
    <t>Hanna Rohtla</t>
  </si>
  <si>
    <t>Madle Sirel</t>
  </si>
  <si>
    <t xml:space="preserve">         Stiven Savin</t>
  </si>
  <si>
    <t>Hanna Laura Leesme</t>
  </si>
  <si>
    <t>Mari Jürgenson</t>
  </si>
  <si>
    <t>Kaia Raidma</t>
  </si>
  <si>
    <t>Mari-liis Tammeleht</t>
  </si>
  <si>
    <t>Kristiina Kassmann</t>
  </si>
  <si>
    <t xml:space="preserve">     Olga Maksimenko</t>
  </si>
  <si>
    <t>Anne Luik</t>
  </si>
  <si>
    <t>Raili Pärt</t>
  </si>
  <si>
    <t>Anett Laever</t>
  </si>
  <si>
    <t>Kristin Tärn</t>
  </si>
  <si>
    <t>Kadri-Liis Remmelgas</t>
  </si>
  <si>
    <t>Siim Laur</t>
  </si>
  <si>
    <t>Sirje Kiilits</t>
  </si>
  <si>
    <t>Katrin Graverson</t>
  </si>
  <si>
    <t>Lija Odisharia</t>
  </si>
  <si>
    <t>Reelika Sarapuu</t>
  </si>
  <si>
    <t>Erle Oja</t>
  </si>
  <si>
    <t>Tuuli Reede</t>
  </si>
  <si>
    <t>Maris Saar</t>
  </si>
  <si>
    <t>Liisa Juurmann</t>
  </si>
  <si>
    <t>Jasmin Viinamägi</t>
  </si>
  <si>
    <t>Gabriel Kibal</t>
  </si>
  <si>
    <t>Annete Sikora</t>
  </si>
  <si>
    <t>Margit Rändur</t>
  </si>
  <si>
    <t>Mari-Leen Tikk</t>
  </si>
  <si>
    <t>Anni Elisabeth Piirfeldt</t>
  </si>
  <si>
    <t>Astra Nilk</t>
  </si>
  <si>
    <t>Ly Puri</t>
  </si>
  <si>
    <t>Triinu Rannast</t>
  </si>
  <si>
    <t>Johanna Jakobson</t>
  </si>
  <si>
    <t>Sille Kaupmees</t>
  </si>
  <si>
    <t>Mart Saamuel Lobjakas</t>
  </si>
  <si>
    <t>Kreeta-Lisett Tooming</t>
  </si>
  <si>
    <t>Ksenja Mihnovitš</t>
  </si>
  <si>
    <t>Angelika Sadam</t>
  </si>
  <si>
    <t>Agnes Annimäe</t>
  </si>
  <si>
    <t>Karoline Aun</t>
  </si>
  <si>
    <t>Triin moisa</t>
  </si>
  <si>
    <t>Grete Õismets</t>
  </si>
  <si>
    <t>Cätlin Mölder</t>
  </si>
  <si>
    <t>Nora Reinet</t>
  </si>
  <si>
    <t>Heddy Talvik</t>
  </si>
  <si>
    <t>Tiina Kuusepuu</t>
  </si>
  <si>
    <t>Anu Sikk</t>
  </si>
  <si>
    <t xml:space="preserve">           Elis Aksli</t>
  </si>
  <si>
    <t xml:space="preserve">       Katarina Urm</t>
  </si>
  <si>
    <t>Eleri Narits</t>
  </si>
  <si>
    <t xml:space="preserve">        Hedi Laigar</t>
  </si>
  <si>
    <t xml:space="preserve">           Eleri Sirel</t>
  </si>
  <si>
    <t>Maris Suuster</t>
  </si>
  <si>
    <t xml:space="preserve">      Triinu Tiidus</t>
  </si>
  <si>
    <t>Janika Nigul</t>
  </si>
  <si>
    <t>Jana Jalast</t>
  </si>
  <si>
    <t>Anna Liisa Kalja</t>
  </si>
  <si>
    <t>Annabel Kallo</t>
  </si>
  <si>
    <t>Anneliis Plado</t>
  </si>
  <si>
    <t>Carmen Elis Martikainen</t>
  </si>
  <si>
    <t>Õnne Halliko</t>
  </si>
  <si>
    <t>Maria Pääsuke</t>
  </si>
  <si>
    <t>Britta Stern</t>
  </si>
  <si>
    <t>Merilin Sinimets</t>
  </si>
  <si>
    <t>Randy Mägi</t>
  </si>
  <si>
    <t>Grethel Kasesalu</t>
  </si>
  <si>
    <t>Hannes Arvisto</t>
  </si>
  <si>
    <t>Vasilina Savinova</t>
  </si>
  <si>
    <t>Adele Karolina Kõre</t>
  </si>
  <si>
    <t>Cristella Treial</t>
  </si>
  <si>
    <t>Alice Allik</t>
  </si>
  <si>
    <t>Sigrid Sild</t>
  </si>
  <si>
    <t>Doris Tedre</t>
  </si>
  <si>
    <t>Doris Elmi</t>
  </si>
  <si>
    <t>Vello Kikas</t>
  </si>
  <si>
    <t>Siret Sivonen</t>
  </si>
  <si>
    <t>Kadi Nurs</t>
  </si>
  <si>
    <t>Urmas Brück</t>
  </si>
  <si>
    <t>Liivar Laks</t>
  </si>
  <si>
    <t>Tuuli Sammelselg</t>
  </si>
  <si>
    <t>Sandra Sirel</t>
  </si>
  <si>
    <t>Ene Neimla</t>
  </si>
  <si>
    <t>Kaisa Kask</t>
  </si>
  <si>
    <t>Pille Toom</t>
  </si>
  <si>
    <t>Jaanika Sadam</t>
  </si>
  <si>
    <t>Eliise Saarepera</t>
  </si>
  <si>
    <t>Mirjam Jaaska</t>
  </si>
  <si>
    <t>Carmen Roomet</t>
  </si>
  <si>
    <t>Johanna Teppan</t>
  </si>
  <si>
    <t>Laura Hirvoja</t>
  </si>
  <si>
    <t>Karolin Braun</t>
  </si>
  <si>
    <t>Triin Laanemägi</t>
  </si>
  <si>
    <t>Loviise Liia Paas</t>
  </si>
  <si>
    <t xml:space="preserve">      Anella Stimmer</t>
  </si>
  <si>
    <t>Margit Raudkivi</t>
  </si>
  <si>
    <t>Maret Kasemets</t>
  </si>
  <si>
    <t>Brenda Raid</t>
  </si>
  <si>
    <t>Hanna-Liisa Aasma</t>
  </si>
  <si>
    <t>Mihkel Lindre</t>
  </si>
  <si>
    <t>Lauri Juhani Lehtinen</t>
  </si>
  <si>
    <t>Sille Vaimets</t>
  </si>
  <si>
    <t>Maire Õunmaa</t>
  </si>
  <si>
    <t>Priit Perna</t>
  </si>
  <si>
    <t>Eva Veltri</t>
  </si>
  <si>
    <t>Johanna Krippel</t>
  </si>
  <si>
    <t>Jennifer-Chelsea Laanet</t>
  </si>
  <si>
    <t>Joonas Maru Aardevälja</t>
  </si>
  <si>
    <t xml:space="preserve">      Regina Waren</t>
  </si>
  <si>
    <t xml:space="preserve">  Oksana Podgorelov</t>
  </si>
  <si>
    <t xml:space="preserve">  Agnes Podgorelov</t>
  </si>
  <si>
    <t>Liina Vatsa</t>
  </si>
  <si>
    <t>Railis Ipsberg</t>
  </si>
  <si>
    <t>Birgit Raid</t>
  </si>
  <si>
    <t>Kaire Ojapõld</t>
  </si>
  <si>
    <t>Kelly Kvarnström</t>
  </si>
  <si>
    <t>Jane Vahtras</t>
  </si>
  <si>
    <t>Laura Jõgeda</t>
  </si>
  <si>
    <t>Kristi Saarmas</t>
  </si>
  <si>
    <t>Kristin Kesmaa</t>
  </si>
  <si>
    <t>Elle Helena Karrus</t>
  </si>
  <si>
    <t>Anna-Liisa Pääsukene</t>
  </si>
  <si>
    <t>Anu Tavidoff</t>
  </si>
  <si>
    <t>Triin Paur</t>
  </si>
  <si>
    <t>Marjana Tilk</t>
  </si>
  <si>
    <t>Marita Tilk</t>
  </si>
  <si>
    <t>Riin Reimer</t>
  </si>
  <si>
    <t>Teele Tohver</t>
  </si>
  <si>
    <t>Anneli Metsaorg</t>
  </si>
  <si>
    <t>Johanna Ivask</t>
  </si>
  <si>
    <t>Koit Tikk</t>
  </si>
  <si>
    <t>Triin Tartu</t>
  </si>
  <si>
    <t>Jevgeni Medkov</t>
  </si>
  <si>
    <t>Liis-Ellen Raivet</t>
  </si>
  <si>
    <t>Sigrid Salumets</t>
  </si>
  <si>
    <t>Anu Moisa</t>
  </si>
  <si>
    <t>Kelly Pärnalaas</t>
  </si>
  <si>
    <t>Meeli Räbin</t>
  </si>
  <si>
    <t>Triin Spitz</t>
  </si>
  <si>
    <t>Jane Pulver</t>
  </si>
  <si>
    <t>Anna Kalinina</t>
  </si>
  <si>
    <t>Al-Dra Kungla</t>
  </si>
  <si>
    <t xml:space="preserve">      Johanna Aren</t>
  </si>
  <si>
    <t>Lovisa Anetta Marcella Lilles</t>
  </si>
  <si>
    <t>Georg Koppel</t>
  </si>
  <si>
    <t>Hele Mai Hipp Müller</t>
  </si>
  <si>
    <t xml:space="preserve">      Merja Magnus</t>
  </si>
  <si>
    <t>Triin Visamaa</t>
  </si>
  <si>
    <t>Gertu Vilba</t>
  </si>
  <si>
    <t>Kätlin Leisson</t>
  </si>
  <si>
    <t>Merlin Vips</t>
  </si>
  <si>
    <t xml:space="preserve">   Mairi Zernand-kris</t>
  </si>
  <si>
    <t>Kaisa Ets</t>
  </si>
  <si>
    <t>Karmen Trepp</t>
  </si>
  <si>
    <t>Key Paju</t>
  </si>
  <si>
    <t>Mariliis Parve</t>
  </si>
  <si>
    <t>Grete Tooming</t>
  </si>
  <si>
    <t xml:space="preserve">       Kelly Uluots</t>
  </si>
  <si>
    <t>Viivika Liiman</t>
  </si>
  <si>
    <t>Maarja Malm</t>
  </si>
  <si>
    <t>Kristi Vahenurm</t>
  </si>
  <si>
    <t>Artur Lember</t>
  </si>
  <si>
    <t>Keidy Jõgi</t>
  </si>
  <si>
    <t>Carolin Nõmm</t>
  </si>
  <si>
    <t>Eeva-Anette Värk</t>
  </si>
  <si>
    <t>Piia Marie Leesme</t>
  </si>
  <si>
    <t xml:space="preserve">     Kristin Juurik</t>
  </si>
  <si>
    <t>Kristiina Rea</t>
  </si>
  <si>
    <t>Stella Kuusemets</t>
  </si>
  <si>
    <t>Lili Kolberg</t>
  </si>
  <si>
    <t>Kristine Käärmamees</t>
  </si>
  <si>
    <t>Heidi Veski</t>
  </si>
  <si>
    <t>Kerli Karita Nugis</t>
  </si>
  <si>
    <t>Mirje Uibo</t>
  </si>
  <si>
    <t>Andra Selesneva</t>
  </si>
  <si>
    <t>Annika Raie</t>
  </si>
  <si>
    <t>Margit Martin</t>
  </si>
  <si>
    <t>Tiiu Valk</t>
  </si>
  <si>
    <t>Kaisa-Liisi Kangur</t>
  </si>
  <si>
    <t>Tõnu Tõnov</t>
  </si>
  <si>
    <t>Laura Olesk</t>
  </si>
  <si>
    <t>Kert Kiis</t>
  </si>
  <si>
    <t>Hugo Rohtla</t>
  </si>
  <si>
    <t>Aleksandra Kliimand</t>
  </si>
  <si>
    <t>Kirkke Eliis Põldsalu</t>
  </si>
  <si>
    <t>Erik Tuiman</t>
  </si>
  <si>
    <t>Sigrid Lain</t>
  </si>
  <si>
    <t>Kristiina Johanna Feldmann</t>
  </si>
  <si>
    <t>Kaili Puttonen</t>
  </si>
  <si>
    <t>Annika Aruots</t>
  </si>
  <si>
    <t>Hardo Käänik</t>
  </si>
  <si>
    <t>Siiri Verrev</t>
  </si>
  <si>
    <t>Anna-Liis Toming</t>
  </si>
  <si>
    <t>Marelle Mangus</t>
  </si>
  <si>
    <t>Elina Laur</t>
  </si>
  <si>
    <t>Evelin Luga</t>
  </si>
  <si>
    <t>Joel Jürisson</t>
  </si>
  <si>
    <t>Emilla Uustalu</t>
  </si>
  <si>
    <t xml:space="preserve">        Ellen Põder</t>
  </si>
  <si>
    <t>Maarja Paim</t>
  </si>
  <si>
    <t>Kauro Padar</t>
  </si>
  <si>
    <t>Egle Saar</t>
  </si>
  <si>
    <t>Britt Ülesoo</t>
  </si>
  <si>
    <t>Annely Metsaorg</t>
  </si>
  <si>
    <t>Ede Eerits</t>
  </si>
  <si>
    <t>Sandra Loo</t>
  </si>
  <si>
    <t>Aire Aun</t>
  </si>
  <si>
    <t>Triin Vallaste</t>
  </si>
  <si>
    <t>Holden Karl Hain</t>
  </si>
  <si>
    <t>Marili Põldma</t>
  </si>
  <si>
    <t>Annika Vaheoja</t>
  </si>
  <si>
    <t>Kathleen Parik</t>
  </si>
  <si>
    <t>Keti Adov</t>
  </si>
  <si>
    <t>Indrek Jõesaar</t>
  </si>
  <si>
    <t>Anette Leppik</t>
  </si>
  <si>
    <t>K.Kuik Tõnissoo</t>
  </si>
  <si>
    <t>Regne Soon</t>
  </si>
  <si>
    <t>Meriln Erm</t>
  </si>
  <si>
    <t xml:space="preserve">       Kaia Õispuu</t>
  </si>
  <si>
    <t xml:space="preserve">       Anni Liis Hoop</t>
  </si>
  <si>
    <t xml:space="preserve">       Kerli Jürimäe</t>
  </si>
  <si>
    <t>Liisa Helena Timmerman</t>
  </si>
  <si>
    <t xml:space="preserve">       Merilin Särg</t>
  </si>
  <si>
    <t>Mia Turu</t>
  </si>
  <si>
    <t>Heli Püümann</t>
  </si>
  <si>
    <t>Ann Meriste White</t>
  </si>
  <si>
    <t>Raili Mets</t>
  </si>
  <si>
    <t>Johannes Jürisson</t>
  </si>
  <si>
    <t>Toomas Traagel</t>
  </si>
  <si>
    <t>Vassel Kivisoo</t>
  </si>
  <si>
    <t>Kalle Põldsaar</t>
  </si>
  <si>
    <t>Raner Paap</t>
  </si>
  <si>
    <t xml:space="preserve">     Markus Hallik</t>
  </si>
  <si>
    <t xml:space="preserve">   Gerda Loorepere</t>
  </si>
  <si>
    <t>Riina Vanatoa</t>
  </si>
  <si>
    <t>Aliise Mikk</t>
  </si>
  <si>
    <t>Gerli Laine</t>
  </si>
  <si>
    <t>Greta Frosch</t>
  </si>
  <si>
    <t>Kerli Mooses</t>
  </si>
  <si>
    <t>Kertu Kinks</t>
  </si>
  <si>
    <t>Kristiina Tamm</t>
  </si>
  <si>
    <t>Liis Maisla</t>
  </si>
  <si>
    <t>Merilin Kirsipuu</t>
  </si>
  <si>
    <t>Svea Pikaru-Prunsvelt</t>
  </si>
  <si>
    <t>Tiia Tallo</t>
  </si>
  <si>
    <t>Liisa Puusepp</t>
  </si>
  <si>
    <t>Laura Elvet</t>
  </si>
  <si>
    <t>Holger Eric Hain</t>
  </si>
  <si>
    <t>Maili Hüsse</t>
  </si>
  <si>
    <t>Grete Arro</t>
  </si>
  <si>
    <t>Kea Kiiver</t>
  </si>
  <si>
    <t>Lauri Aasmann</t>
  </si>
  <si>
    <t>Viljar Laos</t>
  </si>
  <si>
    <t>Karmen Kasemets</t>
  </si>
  <si>
    <t>Susanna Kristina Põldoja</t>
  </si>
  <si>
    <t>Rebeka Marii Hanniotti</t>
  </si>
  <si>
    <t>Kaisa Liisi Kangur</t>
  </si>
  <si>
    <t>Eugenie Lee Lidmets</t>
  </si>
  <si>
    <t>Maret Hallik</t>
  </si>
  <si>
    <t>Liisa Maria Tutti</t>
  </si>
  <si>
    <t>Taavet Tikk</t>
  </si>
  <si>
    <t>Katriin Kalle</t>
  </si>
  <si>
    <t>Marge Klaas</t>
  </si>
  <si>
    <t>Maris Pettai</t>
  </si>
  <si>
    <t>Gerda Kaljund</t>
  </si>
  <si>
    <t>Andrea Natali Nad</t>
  </si>
  <si>
    <t>Christeen-Marie Käsnapuu</t>
  </si>
  <si>
    <t>Helen Turban</t>
  </si>
  <si>
    <t>Kristin Liset Lepasaar</t>
  </si>
  <si>
    <t>Kristin Pangsepp</t>
  </si>
  <si>
    <t>Liis Reitel</t>
  </si>
  <si>
    <t>Luisa Lausvee</t>
  </si>
  <si>
    <t>Mare Kalme</t>
  </si>
  <si>
    <t>Sandra Vahemets</t>
  </si>
  <si>
    <t>Sonja Lember</t>
  </si>
  <si>
    <t>Diana Pruks</t>
  </si>
  <si>
    <t>Getter Kaevandes</t>
  </si>
  <si>
    <t>Johannes Kiiver</t>
  </si>
  <si>
    <t>Iti Tikk</t>
  </si>
  <si>
    <t>Anni Jakobson</t>
  </si>
  <si>
    <t>Angela Toome</t>
  </si>
  <si>
    <t>Kirke-Mai Kask</t>
  </si>
  <si>
    <t>Karola Sein</t>
  </si>
  <si>
    <t>Edna Liseth Tuur</t>
  </si>
  <si>
    <t>Anna Martina Helme</t>
  </si>
  <si>
    <t>Marnet Teichmann</t>
  </si>
  <si>
    <t>Anastasia Karpitševa</t>
  </si>
  <si>
    <t>Marie-Helena Rajatamm</t>
  </si>
  <si>
    <t>Annabel Piiritalu</t>
  </si>
  <si>
    <t>Egle Väljamäe</t>
  </si>
  <si>
    <t>Eve-Ly Nurmse-Kruus</t>
  </si>
  <si>
    <t>Madli Matilda Jaaniso</t>
  </si>
  <si>
    <t>Meriliis Aus</t>
  </si>
  <si>
    <t>Annika Timm</t>
  </si>
  <si>
    <t>Albert Karmov</t>
  </si>
  <si>
    <t>Eliisabeth Kuismanen</t>
  </si>
  <si>
    <t>Merily Järveots</t>
  </si>
  <si>
    <t>Kadri-Triin Kõoleht</t>
  </si>
  <si>
    <t>Anna Karro</t>
  </si>
  <si>
    <t>Dagne Markiine Kotkas</t>
  </si>
  <si>
    <t>Kärt-Carmen Konsa</t>
  </si>
  <si>
    <t>Kerttu Kutsar</t>
  </si>
  <si>
    <t>Kertu Põdersalu</t>
  </si>
  <si>
    <t>Kristi-Carolina Reinmaa</t>
  </si>
  <si>
    <t>Eliise-Anett Eevardi</t>
  </si>
  <si>
    <t>Rita Randviir</t>
  </si>
  <si>
    <t>Jogaile Develyte</t>
  </si>
  <si>
    <t>Lüütsepp Karin</t>
  </si>
  <si>
    <t>Kristel Väljak</t>
  </si>
  <si>
    <t>Rita Iskül</t>
  </si>
  <si>
    <t>Tanika Ojasild</t>
  </si>
  <si>
    <t>Marta Lena Pihlakas</t>
  </si>
  <si>
    <t>Anett Jaanikesing</t>
  </si>
  <si>
    <t>Eleanora-Betty Leppik</t>
  </si>
  <si>
    <t>Garolin Asu</t>
  </si>
  <si>
    <t>Silvia Loorits</t>
  </si>
  <si>
    <t>Vaike Bakhoff</t>
  </si>
  <si>
    <t xml:space="preserve">   Peeter Enrik Liiv</t>
  </si>
  <si>
    <t>Emmamarie Marleen Talivee</t>
  </si>
  <si>
    <t>Getter Renel</t>
  </si>
  <si>
    <t>Gretel Pärlin</t>
  </si>
  <si>
    <t>Hanna-Leena Kurik</t>
  </si>
  <si>
    <t>Liispet Kilumets</t>
  </si>
  <si>
    <t>Linda Kask</t>
  </si>
  <si>
    <t>Marie Küüsmaa</t>
  </si>
  <si>
    <t>Pirje Laneman</t>
  </si>
  <si>
    <t>Rebeca Herne</t>
  </si>
  <si>
    <t>Triine Kalinovski</t>
  </si>
  <si>
    <t>Riin Ingre Saare</t>
  </si>
  <si>
    <t>Kärolin Roosioks</t>
  </si>
  <si>
    <t>Pille-Riin Raidma</t>
  </si>
  <si>
    <t>Janette Rohuniit</t>
  </si>
  <si>
    <t>Margarita Klemm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</si>
</sst>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5];[Red]\-#,##0.00\ [$€-425]"/>
    <numFmt numFmtId="165" formatCode="d\.m\.yy"/>
  </numFmts>
  <fonts count="7" x14ac:knownFonts="1">
    <font>
      <sz val="10"/>
      <name val="Arial"/>
      <family val="2"/>
      <charset val="186"/>
    </font>
    <font>
      <b/>
      <i/>
      <sz val="16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8"/>
      <name val="Calibri"/>
      <family val="2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22">
    <xf numFmtId="0" fontId="0" fillId="0" borderId="0" xfId="0"/>
    <xf numFmtId="0" fontId="3" fillId="0" borderId="0" xfId="1"/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Alignment="1"/>
    <xf numFmtId="0" fontId="4" fillId="0" borderId="0" xfId="1" applyFont="1" applyBorder="1" applyAlignment="1"/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5" fontId="6" fillId="0" borderId="3" xfId="1" applyNumberFormat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ill="1"/>
    <xf numFmtId="165" fontId="6" fillId="0" borderId="4" xfId="1" applyNumberFormat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4" xfId="1" applyFont="1" applyFill="1" applyBorder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</cellXfs>
  <cellStyles count="6">
    <cellStyle name="Excel Built-in Explanatory Text" xfId="1" xr:uid="{00000000-0005-0000-0000-000000000000}"/>
    <cellStyle name="Heading 1" xfId="2" builtinId="16" customBuiltin="1"/>
    <cellStyle name="Heading1 1" xfId="3" xr:uid="{00000000-0005-0000-0000-000002000000}"/>
    <cellStyle name="Normal" xfId="0" builtinId="0"/>
    <cellStyle name="Result 1" xfId="4" xr:uid="{00000000-0005-0000-0000-000004000000}"/>
    <cellStyle name="Result2 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6"/>
  <sheetViews>
    <sheetView tabSelected="1" workbookViewId="0">
      <selection activeCell="C2" sqref="C2"/>
    </sheetView>
  </sheetViews>
  <sheetFormatPr defaultColWidth="7.140625" defaultRowHeight="15" x14ac:dyDescent="0.25"/>
  <cols>
    <col min="1" max="1" width="20.42578125" style="1" customWidth="1"/>
    <col min="2" max="3" width="11.140625" style="1" customWidth="1"/>
    <col min="4" max="4" width="19.42578125" style="1" customWidth="1"/>
    <col min="5" max="8" width="8.5703125" style="1" customWidth="1"/>
    <col min="9" max="10" width="7.140625" style="1"/>
    <col min="11" max="13" width="6.28515625" style="1" customWidth="1"/>
    <col min="14" max="15" width="3.7109375" style="1" customWidth="1"/>
    <col min="16" max="17" width="6.28515625" style="1" customWidth="1"/>
    <col min="18" max="22" width="3.7109375" style="1" customWidth="1"/>
    <col min="23" max="23" width="6.85546875" style="1" customWidth="1"/>
    <col min="24" max="24" width="3.7109375" style="1" customWidth="1"/>
    <col min="25" max="16384" width="7.140625" style="1"/>
  </cols>
  <sheetData>
    <row r="1" spans="1:25" s="2" customFormat="1" ht="15.75" x14ac:dyDescent="0.25">
      <c r="A1" s="6" t="s">
        <v>0</v>
      </c>
      <c r="B1" s="7" t="s">
        <v>1</v>
      </c>
      <c r="C1" s="7">
        <v>2019</v>
      </c>
      <c r="D1" s="7">
        <v>2018</v>
      </c>
      <c r="E1" s="2">
        <v>2017</v>
      </c>
      <c r="F1" s="2">
        <v>2016</v>
      </c>
      <c r="G1" s="2">
        <v>2015</v>
      </c>
      <c r="H1" s="2">
        <v>2014</v>
      </c>
      <c r="I1" s="2">
        <v>2013</v>
      </c>
      <c r="J1" s="2">
        <v>2012</v>
      </c>
      <c r="K1" s="2">
        <v>2011</v>
      </c>
      <c r="L1" s="2">
        <v>2010</v>
      </c>
      <c r="M1" s="2">
        <v>2009</v>
      </c>
      <c r="N1" s="2">
        <v>2008</v>
      </c>
      <c r="O1" s="2">
        <v>2007</v>
      </c>
      <c r="P1" s="2">
        <v>2006</v>
      </c>
      <c r="Q1" s="2">
        <v>2005</v>
      </c>
      <c r="R1" s="2">
        <v>2004</v>
      </c>
      <c r="S1" s="2">
        <v>2003</v>
      </c>
      <c r="T1" s="2">
        <v>2002</v>
      </c>
      <c r="U1" s="2">
        <v>2001</v>
      </c>
      <c r="V1" s="2">
        <v>2000</v>
      </c>
      <c r="W1" s="2" t="s">
        <v>2</v>
      </c>
      <c r="X1" s="3"/>
      <c r="Y1" s="3"/>
    </row>
    <row r="2" spans="1:25" s="4" customFormat="1" ht="15.75" x14ac:dyDescent="0.25">
      <c r="A2" s="8" t="s">
        <v>4</v>
      </c>
      <c r="B2" s="9">
        <f>SUM(C2:W2)</f>
        <v>7201.55</v>
      </c>
      <c r="C2" s="9">
        <f>54+56+86+124+120+120+84+80+120</f>
        <v>844</v>
      </c>
      <c r="D2" s="9">
        <f>46+81+46+80+81+121+120+80</f>
        <v>655</v>
      </c>
      <c r="E2" s="10">
        <f>SUM(53.6+120+30+160+50+52.5)</f>
        <v>466.1</v>
      </c>
      <c r="F2" s="3">
        <f>SUM(46+54+160+32+120+40+160+80+80)</f>
        <v>772</v>
      </c>
      <c r="G2" s="3">
        <f>SUM(50+120+120+52+120)</f>
        <v>462</v>
      </c>
      <c r="H2" s="3">
        <f>SUM(90.6+84+81+51)</f>
        <v>306.60000000000002</v>
      </c>
      <c r="I2" s="3">
        <v>339.5</v>
      </c>
      <c r="J2" s="3">
        <v>472.85</v>
      </c>
      <c r="K2" s="3">
        <v>401.5</v>
      </c>
      <c r="L2" s="3">
        <v>240</v>
      </c>
      <c r="M2" s="3">
        <v>543</v>
      </c>
      <c r="N2" s="3">
        <v>63</v>
      </c>
      <c r="O2" s="3">
        <v>261</v>
      </c>
      <c r="P2" s="3">
        <v>371</v>
      </c>
      <c r="Q2" s="3">
        <v>350</v>
      </c>
      <c r="R2" s="3">
        <v>306</v>
      </c>
      <c r="S2" s="3">
        <v>188</v>
      </c>
      <c r="T2" s="3">
        <v>30</v>
      </c>
      <c r="W2" s="3">
        <v>130</v>
      </c>
    </row>
    <row r="3" spans="1:25" ht="15.75" x14ac:dyDescent="0.25">
      <c r="A3" s="8" t="s">
        <v>3</v>
      </c>
      <c r="B3" s="9">
        <f>SUM(C3:W3)</f>
        <v>6660.95</v>
      </c>
      <c r="C3" s="9">
        <f>81+51+124+80+120+120+50</f>
        <v>626</v>
      </c>
      <c r="D3" s="9">
        <f>120+48+80</f>
        <v>248</v>
      </c>
      <c r="E3" s="10">
        <f>SUM(80.4+80+50+120+40+120+82)</f>
        <v>572.4</v>
      </c>
      <c r="F3" s="3">
        <f>SUM(46+50+160+84+83+83+42.4+42.4+52+40+160)</f>
        <v>842.8</v>
      </c>
      <c r="G3" s="3">
        <f>SUM(53+120+54+120)</f>
        <v>347</v>
      </c>
      <c r="H3" s="3">
        <f>SUM(90.6+160+120+81+51)</f>
        <v>502.6</v>
      </c>
      <c r="I3" s="3">
        <v>623.5</v>
      </c>
      <c r="J3" s="3">
        <v>647.85</v>
      </c>
      <c r="K3" s="3">
        <v>556</v>
      </c>
      <c r="L3" s="3">
        <v>615.79999999999995</v>
      </c>
      <c r="M3" s="3">
        <v>590</v>
      </c>
      <c r="N3" s="3">
        <v>353</v>
      </c>
      <c r="O3" s="3">
        <v>85</v>
      </c>
      <c r="P3" s="3">
        <v>51</v>
      </c>
      <c r="Q3" s="3"/>
      <c r="R3" s="3"/>
      <c r="S3" s="3"/>
      <c r="T3" s="3"/>
      <c r="U3" s="3"/>
      <c r="V3" s="3"/>
      <c r="W3" s="3"/>
    </row>
    <row r="4" spans="1:25" ht="15.75" x14ac:dyDescent="0.25">
      <c r="A4" s="8" t="s">
        <v>5</v>
      </c>
      <c r="B4" s="9">
        <f>SUM(C4:W4)</f>
        <v>5170.2</v>
      </c>
      <c r="C4" s="9">
        <f>54+56+120+84</f>
        <v>314</v>
      </c>
      <c r="D4" s="9">
        <f>46+81+80+120+80</f>
        <v>407</v>
      </c>
      <c r="E4" s="10">
        <f>SUM(53.6+50+85.5)</f>
        <v>189.1</v>
      </c>
      <c r="F4" s="3">
        <f>SUM(54+32+34+40.5)</f>
        <v>160.5</v>
      </c>
      <c r="G4" s="3">
        <f>SUM(120+120+52)</f>
        <v>292</v>
      </c>
      <c r="H4" s="3">
        <f>SUM(90.6+80+39+51+81)</f>
        <v>341.6</v>
      </c>
      <c r="I4" s="3">
        <v>378</v>
      </c>
      <c r="J4" s="3">
        <v>845</v>
      </c>
      <c r="K4" s="3">
        <v>478.5</v>
      </c>
      <c r="L4" s="3">
        <v>368</v>
      </c>
      <c r="M4" s="3">
        <v>343.5</v>
      </c>
      <c r="N4" s="3">
        <v>169</v>
      </c>
      <c r="P4" s="3">
        <v>118</v>
      </c>
      <c r="Q4" s="3">
        <v>249</v>
      </c>
      <c r="R4" s="3">
        <v>305</v>
      </c>
      <c r="S4" s="3">
        <v>182</v>
      </c>
      <c r="T4" s="3">
        <v>30</v>
      </c>
    </row>
    <row r="5" spans="1:25" ht="15.75" x14ac:dyDescent="0.25">
      <c r="A5" s="11" t="s">
        <v>14</v>
      </c>
      <c r="B5" s="9">
        <f>SUM(C5:W5)</f>
        <v>3990.5</v>
      </c>
      <c r="C5" s="9">
        <f>51+124+50+122+80+84</f>
        <v>511</v>
      </c>
      <c r="D5" s="9">
        <f>46+84+80+50+80+53.6+80+81+55+48+81+50+55</f>
        <v>843.6</v>
      </c>
      <c r="E5" s="10">
        <f>SUM(80.4+55+80+120+53.6+80+120+80+80+160+81+82+85.5)</f>
        <v>1157.5</v>
      </c>
      <c r="F5" s="3">
        <f>SUM(81+80+53+83+52+67+80+80+84)</f>
        <v>660</v>
      </c>
      <c r="G5" s="3">
        <f>SUM(50+80.4+52+31+67+85+51+59+57)</f>
        <v>532.4</v>
      </c>
      <c r="H5" s="3">
        <f>SUM(39+45+62+88+52)</f>
        <v>286</v>
      </c>
    </row>
    <row r="6" spans="1:25" ht="15.75" x14ac:dyDescent="0.25">
      <c r="A6" s="8" t="s">
        <v>7</v>
      </c>
      <c r="B6" s="9">
        <f>SUM(C6:W6)</f>
        <v>3953.4</v>
      </c>
      <c r="C6" s="9">
        <f>40.5+44+56+124</f>
        <v>264.5</v>
      </c>
      <c r="D6" s="9">
        <f>46+54+80+80+80+80+50+55</f>
        <v>525</v>
      </c>
      <c r="E6" s="10">
        <f>SUM(64+54+120+120+80+80+120)</f>
        <v>638</v>
      </c>
      <c r="F6" s="3">
        <f>SUM(46+50+54+80+67+120+120+44+84+66)</f>
        <v>731</v>
      </c>
      <c r="G6" s="3">
        <f>SUM(80.4+53+80+67+85)</f>
        <v>365.4</v>
      </c>
      <c r="H6" s="3">
        <f>SUM(54+120+120+51+80+67+34+81+51+120+52)</f>
        <v>830</v>
      </c>
      <c r="I6" s="3">
        <v>557.5</v>
      </c>
      <c r="J6" s="3">
        <v>42</v>
      </c>
      <c r="P6" s="3"/>
      <c r="Q6" s="3"/>
    </row>
    <row r="7" spans="1:25" ht="15.75" x14ac:dyDescent="0.25">
      <c r="A7" s="8" t="s">
        <v>6</v>
      </c>
      <c r="B7" s="9">
        <f>SUM(C7:W7)</f>
        <v>3371.85</v>
      </c>
      <c r="C7" s="9"/>
      <c r="D7" s="9">
        <f>54+84+50</f>
        <v>188</v>
      </c>
      <c r="E7" s="10">
        <f>SUM(53.6+120+50+120+82+80+85.5)</f>
        <v>591.1</v>
      </c>
      <c r="F7" s="3">
        <f>SUM(81+120+83+67+52+120+80+84)</f>
        <v>687</v>
      </c>
      <c r="G7" s="3">
        <f>SUM(80.4+84+120+80+67+85+120)</f>
        <v>636.4</v>
      </c>
      <c r="H7" s="3">
        <f>SUM(80+80+81+120+52)</f>
        <v>413</v>
      </c>
      <c r="I7" s="3">
        <v>490.5</v>
      </c>
      <c r="J7" s="3">
        <v>365.85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5" ht="15.75" x14ac:dyDescent="0.25">
      <c r="A8" s="8" t="s">
        <v>12</v>
      </c>
      <c r="B8" s="9">
        <f>SUM(C8:W8)</f>
        <v>3349.2</v>
      </c>
      <c r="C8" s="9">
        <f>50+120+120</f>
        <v>290</v>
      </c>
      <c r="D8" s="9">
        <f>83+120+121</f>
        <v>324</v>
      </c>
      <c r="E8" s="10">
        <f>SUM(84+82+80+120)</f>
        <v>366</v>
      </c>
      <c r="F8" s="3">
        <f>SUM(46+81+83)</f>
        <v>210</v>
      </c>
      <c r="G8" s="3">
        <f>SUM(81+50+84+80+80+81+100+85+80)</f>
        <v>721</v>
      </c>
      <c r="H8" s="3">
        <f>SUM(81+51+65+45+80+50+84)</f>
        <v>456</v>
      </c>
      <c r="I8" s="3">
        <v>183.5</v>
      </c>
      <c r="J8" s="3">
        <v>326.2</v>
      </c>
      <c r="K8" s="3">
        <v>388.5</v>
      </c>
      <c r="L8" s="3">
        <v>84</v>
      </c>
      <c r="P8" s="3"/>
      <c r="Q8" s="3"/>
    </row>
    <row r="9" spans="1:25" ht="15.75" x14ac:dyDescent="0.25">
      <c r="A9" s="8" t="s">
        <v>13</v>
      </c>
      <c r="B9" s="9">
        <f>SUM(C9:W9)</f>
        <v>3237.65</v>
      </c>
      <c r="C9" s="9">
        <f>84+120</f>
        <v>204</v>
      </c>
      <c r="D9" s="9">
        <f>46+54+80+120+50</f>
        <v>350</v>
      </c>
      <c r="E9" s="10">
        <f>SUM(54+120+50+80+82+120+82)</f>
        <v>588</v>
      </c>
      <c r="F9" s="3">
        <f>SUM(50+80+55.5+42.4+120+40.5+80+84)</f>
        <v>552.4</v>
      </c>
      <c r="G9" s="3">
        <f>SUM(50+53.6+53+80+67+51+81)</f>
        <v>435.6</v>
      </c>
      <c r="H9" s="3">
        <f>SUM(54+84)</f>
        <v>138</v>
      </c>
      <c r="I9" s="3">
        <v>188.5</v>
      </c>
      <c r="J9" s="3">
        <v>163.85</v>
      </c>
      <c r="K9" s="3">
        <v>328</v>
      </c>
      <c r="L9" s="3">
        <v>289.3</v>
      </c>
      <c r="P9" s="3"/>
      <c r="Q9" s="3"/>
    </row>
    <row r="10" spans="1:25" ht="15.75" x14ac:dyDescent="0.25">
      <c r="A10" s="8" t="s">
        <v>8</v>
      </c>
      <c r="B10" s="9">
        <f>SUM(C10:W10)</f>
        <v>3177</v>
      </c>
      <c r="C10" s="9"/>
      <c r="D10" s="9">
        <f>46+81+55</f>
        <v>182</v>
      </c>
      <c r="E10" s="10">
        <f>SUM(120+82+85.5)</f>
        <v>287.5</v>
      </c>
      <c r="F10" s="3">
        <f>SUM(46+81+160+84)</f>
        <v>371</v>
      </c>
      <c r="G10" s="3">
        <f>SUM(52)</f>
        <v>52</v>
      </c>
      <c r="H10" s="3">
        <f>SUM(53+45+120)</f>
        <v>218</v>
      </c>
      <c r="I10" s="3">
        <v>94</v>
      </c>
      <c r="J10" s="3">
        <v>256</v>
      </c>
      <c r="K10" s="3">
        <v>122.5</v>
      </c>
      <c r="L10" s="3">
        <v>520</v>
      </c>
      <c r="M10" s="3">
        <v>384</v>
      </c>
      <c r="N10" s="3">
        <v>393</v>
      </c>
      <c r="O10" s="3">
        <v>297</v>
      </c>
      <c r="P10" s="3"/>
      <c r="Q10" s="3"/>
    </row>
    <row r="11" spans="1:25" ht="15.75" x14ac:dyDescent="0.25">
      <c r="A11" s="8" t="s">
        <v>9</v>
      </c>
      <c r="B11" s="9">
        <f>SUM(C11:W11)</f>
        <v>3051.05</v>
      </c>
      <c r="C11" s="9">
        <f>44+81</f>
        <v>125</v>
      </c>
      <c r="D11" s="9">
        <v>0</v>
      </c>
      <c r="E11" s="10">
        <f>SUM(54+80.4+82.5+50+50+122+120+80+52)</f>
        <v>690.9</v>
      </c>
      <c r="F11" s="3">
        <f>SUM(46+50+53+55.5+42.4+83+44+41+56+66)</f>
        <v>536.9</v>
      </c>
      <c r="G11" s="3">
        <f>SUM(120+53.6+80+50+85+51+120)</f>
        <v>559.6</v>
      </c>
      <c r="H11" s="3">
        <f>SUM(54+120)</f>
        <v>174</v>
      </c>
      <c r="I11" s="3">
        <v>350.5</v>
      </c>
      <c r="J11" s="3">
        <v>265.35000000000002</v>
      </c>
      <c r="K11" s="3">
        <v>306.5</v>
      </c>
      <c r="L11" s="3">
        <v>42.3</v>
      </c>
      <c r="P11" s="3"/>
      <c r="Q11" s="3"/>
    </row>
    <row r="12" spans="1:25" ht="15.75" x14ac:dyDescent="0.25">
      <c r="A12" s="8" t="s">
        <v>11</v>
      </c>
      <c r="B12" s="9">
        <f>SUM(C12:W12)</f>
        <v>2981.75</v>
      </c>
      <c r="C12" s="9"/>
      <c r="D12" s="9">
        <v>80</v>
      </c>
      <c r="E12" s="10">
        <f>SUM(53.6+80+120+81)</f>
        <v>334.6</v>
      </c>
      <c r="F12" s="3">
        <f>SUM(54+80+53+55.5+85+56)</f>
        <v>383.5</v>
      </c>
      <c r="G12" s="3">
        <f>SUM(34+80+52+67+85+34+57)</f>
        <v>409</v>
      </c>
      <c r="H12" s="3">
        <f>SUM(54+53+80+67+81+51+51+52)</f>
        <v>489</v>
      </c>
      <c r="I12" s="3">
        <v>363</v>
      </c>
      <c r="J12" s="3">
        <v>263.35000000000002</v>
      </c>
      <c r="K12" s="3">
        <v>334.5</v>
      </c>
      <c r="L12" s="3">
        <v>251.8</v>
      </c>
      <c r="M12" s="3">
        <v>39</v>
      </c>
      <c r="N12" s="3">
        <v>34</v>
      </c>
      <c r="P12" s="3"/>
      <c r="Q12" s="3"/>
    </row>
    <row r="13" spans="1:25" ht="15.75" x14ac:dyDescent="0.25">
      <c r="A13" s="8" t="s">
        <v>10</v>
      </c>
      <c r="B13" s="9">
        <f>SUM(C13:W13)</f>
        <v>2943</v>
      </c>
      <c r="C13" s="9">
        <v>34</v>
      </c>
      <c r="D13" s="9">
        <v>0</v>
      </c>
      <c r="E13" s="10">
        <f>SUM(80+120+160+82+120)</f>
        <v>562</v>
      </c>
      <c r="F13" s="3">
        <f>SUM(81)</f>
        <v>81</v>
      </c>
      <c r="G13" s="3">
        <f>SUM(81+52+81)</f>
        <v>214</v>
      </c>
      <c r="H13" s="3">
        <f>SUM(81+120+84)</f>
        <v>285</v>
      </c>
      <c r="I13" s="3">
        <v>241.5</v>
      </c>
      <c r="J13" s="3">
        <v>326.5</v>
      </c>
      <c r="K13" s="3">
        <v>485</v>
      </c>
      <c r="L13" s="3">
        <v>374.5</v>
      </c>
      <c r="M13" s="3">
        <v>249.5</v>
      </c>
      <c r="N13" s="3">
        <v>50</v>
      </c>
      <c r="O13" s="3">
        <v>40</v>
      </c>
      <c r="P13" s="3"/>
      <c r="Q13" s="3"/>
    </row>
    <row r="14" spans="1:25" ht="15.75" x14ac:dyDescent="0.25">
      <c r="A14" s="8" t="s">
        <v>20</v>
      </c>
      <c r="B14" s="9">
        <f>SUM(C14:W14)</f>
        <v>2704.5</v>
      </c>
      <c r="C14" s="9">
        <f>81+52+56+82+52+80+84</f>
        <v>487</v>
      </c>
      <c r="D14" s="9">
        <f>31.6+52+81+82</f>
        <v>246.6</v>
      </c>
      <c r="E14" s="10">
        <f>SUM(120+34+40)</f>
        <v>194</v>
      </c>
      <c r="F14" s="3">
        <f>SUM(46+81+80+82.4+32)</f>
        <v>321.39999999999998</v>
      </c>
      <c r="G14" s="3">
        <f>SUM(34+52)</f>
        <v>86</v>
      </c>
      <c r="H14" s="3">
        <f>SUM(37+89)</f>
        <v>126</v>
      </c>
      <c r="I14" s="3">
        <v>153.5</v>
      </c>
      <c r="J14" s="3">
        <v>225</v>
      </c>
      <c r="K14" s="3">
        <v>57.5</v>
      </c>
      <c r="L14" s="3">
        <v>502.5</v>
      </c>
      <c r="M14" s="3">
        <v>234</v>
      </c>
      <c r="N14" s="3">
        <v>71</v>
      </c>
      <c r="O14" s="4"/>
      <c r="P14" s="3"/>
      <c r="Q14" s="3"/>
      <c r="R14" s="4"/>
      <c r="S14" s="4"/>
      <c r="T14" s="4"/>
      <c r="U14" s="4"/>
      <c r="V14" s="4"/>
      <c r="W14" s="4"/>
    </row>
    <row r="15" spans="1:25" ht="15.75" x14ac:dyDescent="0.25">
      <c r="A15" s="8" t="s">
        <v>15</v>
      </c>
      <c r="B15" s="9">
        <f>SUM(C15:W15)</f>
        <v>2648.9</v>
      </c>
      <c r="C15" s="9">
        <f>52+32</f>
        <v>84</v>
      </c>
      <c r="D15" s="9">
        <f>46+50</f>
        <v>96</v>
      </c>
      <c r="E15" s="10">
        <f>SUM(54+80.4+80+30+122+30+80+85.5)</f>
        <v>561.9</v>
      </c>
      <c r="F15" s="3">
        <f>SUM(120+81+120+83+67+52+120)</f>
        <v>643</v>
      </c>
      <c r="G15" s="3">
        <f>SUM(50+120+80+80+67+85+80)</f>
        <v>562</v>
      </c>
      <c r="H15" s="3">
        <f>SUM(84+80+67+81+120+52)</f>
        <v>484</v>
      </c>
      <c r="I15" s="3">
        <v>218</v>
      </c>
      <c r="K15" s="4"/>
      <c r="L15" s="4"/>
      <c r="P15" s="3"/>
      <c r="Q15" s="3"/>
    </row>
    <row r="16" spans="1:25" ht="15.75" x14ac:dyDescent="0.25">
      <c r="A16" s="8" t="s">
        <v>17</v>
      </c>
      <c r="B16" s="9">
        <f>SUM(C16:W16)</f>
        <v>2490.65</v>
      </c>
      <c r="C16" s="9"/>
      <c r="D16" s="9">
        <v>46</v>
      </c>
      <c r="E16" s="10">
        <f>SUM(30+80+120+120)</f>
        <v>350</v>
      </c>
      <c r="F16" s="3">
        <f>SUM(35+83)</f>
        <v>118</v>
      </c>
      <c r="G16" s="3">
        <f>SUM(120+53+120+120)</f>
        <v>413</v>
      </c>
      <c r="H16" s="3">
        <f>SUM(120+80+81)</f>
        <v>281</v>
      </c>
      <c r="I16" s="3">
        <v>312.5</v>
      </c>
      <c r="J16" s="3">
        <v>482.35</v>
      </c>
      <c r="K16" s="3">
        <v>340</v>
      </c>
      <c r="L16" s="3">
        <v>147.80000000000001</v>
      </c>
      <c r="P16" s="3"/>
      <c r="Q16" s="3"/>
    </row>
    <row r="17" spans="1:23" ht="15.75" x14ac:dyDescent="0.25">
      <c r="A17" s="8" t="s">
        <v>26</v>
      </c>
      <c r="B17" s="9">
        <f>SUM(C17:W17)</f>
        <v>2486</v>
      </c>
      <c r="C17" s="9">
        <f>82+56+120</f>
        <v>258</v>
      </c>
      <c r="D17" s="9">
        <f>46+54+46+80+80.4+50+80+80+80+50+55</f>
        <v>701.4</v>
      </c>
      <c r="E17" s="10">
        <f>SUM(54+80+53.6+80+80)</f>
        <v>347.6</v>
      </c>
      <c r="F17" s="3">
        <f>SUM(46+30+50+52+83+40.5+80)</f>
        <v>381.5</v>
      </c>
      <c r="G17" s="3">
        <f>SUM(53+80+50+67+36)</f>
        <v>286</v>
      </c>
      <c r="H17" s="3">
        <f>SUM(32+80+51+67+45+51)</f>
        <v>326</v>
      </c>
      <c r="I17" s="3">
        <v>143.5</v>
      </c>
      <c r="J17" s="3">
        <v>42</v>
      </c>
      <c r="P17" s="3"/>
      <c r="Q17" s="3"/>
    </row>
    <row r="18" spans="1:23" s="3" customFormat="1" ht="15.75" x14ac:dyDescent="0.25">
      <c r="A18" s="8" t="s">
        <v>16</v>
      </c>
      <c r="B18" s="9">
        <f>SUM(C18:W18)</f>
        <v>2459.5</v>
      </c>
      <c r="C18" s="9"/>
      <c r="D18" s="9">
        <v>0</v>
      </c>
      <c r="E18" s="10">
        <v>0</v>
      </c>
      <c r="F18" s="3">
        <v>0</v>
      </c>
      <c r="G18" s="1"/>
      <c r="H18" s="3">
        <v>84</v>
      </c>
      <c r="I18" s="3">
        <v>440</v>
      </c>
      <c r="J18" s="3">
        <v>463</v>
      </c>
      <c r="K18" s="3">
        <v>483.5</v>
      </c>
      <c r="L18" s="3">
        <v>223</v>
      </c>
      <c r="M18" s="3">
        <v>177</v>
      </c>
      <c r="N18" s="3">
        <v>30</v>
      </c>
      <c r="O18" s="3">
        <v>109</v>
      </c>
      <c r="P18" s="3">
        <v>107</v>
      </c>
      <c r="Q18" s="3">
        <v>96</v>
      </c>
      <c r="R18" s="3">
        <v>117</v>
      </c>
      <c r="S18" s="3">
        <v>100</v>
      </c>
      <c r="T18" s="3">
        <v>30</v>
      </c>
      <c r="U18" s="1"/>
      <c r="V18" s="1"/>
      <c r="W18" s="1"/>
    </row>
    <row r="19" spans="1:23" s="4" customFormat="1" ht="15.75" x14ac:dyDescent="0.25">
      <c r="A19" s="8" t="s">
        <v>18</v>
      </c>
      <c r="B19" s="9">
        <f>SUM(C19:W19)</f>
        <v>2283.8000000000002</v>
      </c>
      <c r="C19" s="9"/>
      <c r="D19" s="9">
        <v>50</v>
      </c>
      <c r="E19" s="10">
        <f>SUM(53.6+52)</f>
        <v>105.6</v>
      </c>
      <c r="F19" s="3">
        <f>SUM(46+80)</f>
        <v>126</v>
      </c>
      <c r="G19" s="3">
        <f>SUM(42+50)</f>
        <v>92</v>
      </c>
      <c r="H19" s="1"/>
      <c r="I19" s="1"/>
      <c r="J19" s="3">
        <v>206.2</v>
      </c>
      <c r="K19" s="3">
        <v>626</v>
      </c>
      <c r="L19" s="3">
        <v>531</v>
      </c>
      <c r="M19" s="3">
        <v>369</v>
      </c>
      <c r="N19" s="3">
        <v>178</v>
      </c>
      <c r="O19" s="1"/>
      <c r="P19" s="3"/>
      <c r="Q19" s="3"/>
      <c r="R19" s="1"/>
      <c r="S19" s="1"/>
      <c r="T19" s="1"/>
      <c r="U19" s="1"/>
      <c r="V19" s="1"/>
      <c r="W19" s="1"/>
    </row>
    <row r="20" spans="1:23" ht="15.75" x14ac:dyDescent="0.25">
      <c r="A20" s="8" t="s">
        <v>29</v>
      </c>
      <c r="B20" s="9">
        <f>SUM(C20:W20)</f>
        <v>2129.6</v>
      </c>
      <c r="C20" s="9">
        <f>54+86+56+122+80</f>
        <v>398</v>
      </c>
      <c r="D20" s="9">
        <f>54+34+80+55+120+50+50</f>
        <v>443</v>
      </c>
      <c r="E20" s="10">
        <f>SUM(53.6+87.6+120+80+82+52.5)</f>
        <v>475.7</v>
      </c>
      <c r="F20" s="3">
        <f>SUM(54+80+53+67+32)</f>
        <v>286</v>
      </c>
      <c r="G20" s="3">
        <f>SUM(80.4+80+67+84)</f>
        <v>311.39999999999998</v>
      </c>
      <c r="H20" s="3">
        <f>SUM(54+67+52)</f>
        <v>173</v>
      </c>
      <c r="I20" s="3">
        <v>42.5</v>
      </c>
      <c r="P20" s="3"/>
      <c r="Q20" s="3"/>
    </row>
    <row r="21" spans="1:23" ht="15.75" x14ac:dyDescent="0.25">
      <c r="A21" s="8" t="s">
        <v>19</v>
      </c>
      <c r="B21" s="9">
        <f>SUM(C21:W21)</f>
        <v>2115.6</v>
      </c>
      <c r="C21" s="9"/>
      <c r="D21" s="9">
        <v>0</v>
      </c>
      <c r="E21" s="10">
        <f>SUM(53.6+80)</f>
        <v>133.6</v>
      </c>
      <c r="F21" s="3">
        <f>SUM(54+80+83+84)</f>
        <v>301</v>
      </c>
      <c r="H21" s="3">
        <f>SUM(81)</f>
        <v>81</v>
      </c>
      <c r="I21" s="3">
        <v>290.5</v>
      </c>
      <c r="J21" s="3">
        <v>194.5</v>
      </c>
      <c r="K21" s="3">
        <v>42</v>
      </c>
      <c r="L21" s="3">
        <v>44</v>
      </c>
      <c r="M21" s="3">
        <v>284</v>
      </c>
      <c r="N21" s="3">
        <v>251</v>
      </c>
      <c r="O21" s="3">
        <v>252</v>
      </c>
      <c r="P21" s="3">
        <v>242</v>
      </c>
      <c r="Q21" s="3"/>
    </row>
    <row r="22" spans="1:23" ht="15.75" x14ac:dyDescent="0.25">
      <c r="A22" s="8" t="s">
        <v>22</v>
      </c>
      <c r="B22" s="9">
        <f>SUM(C22:W22)</f>
        <v>1910.5</v>
      </c>
      <c r="C22" s="9">
        <f>44+86</f>
        <v>130</v>
      </c>
      <c r="D22" s="9">
        <v>0</v>
      </c>
      <c r="E22" s="10">
        <f>SUM(53.6+49+52+81)</f>
        <v>235.6</v>
      </c>
      <c r="F22" s="3">
        <f>SUM(46+54+55.5)</f>
        <v>155.5</v>
      </c>
      <c r="G22" s="3">
        <f>SUM(50+80.4+53+120+31+67+85+34+120+85+81)</f>
        <v>806.4</v>
      </c>
      <c r="H22" s="3">
        <f>SUM(81+84+67+51+80+52)</f>
        <v>415</v>
      </c>
      <c r="I22" s="3">
        <v>86</v>
      </c>
      <c r="J22" s="3">
        <v>82</v>
      </c>
      <c r="K22" s="4"/>
      <c r="L22" s="4"/>
      <c r="M22" s="4"/>
      <c r="N22" s="4"/>
      <c r="O22" s="4"/>
      <c r="P22" s="3"/>
      <c r="Q22" s="3"/>
      <c r="R22" s="4"/>
      <c r="S22" s="4"/>
      <c r="T22" s="4"/>
      <c r="U22" s="4"/>
      <c r="V22" s="4"/>
      <c r="W22" s="4"/>
    </row>
    <row r="23" spans="1:23" ht="15.75" x14ac:dyDescent="0.25">
      <c r="A23" s="8" t="s">
        <v>23</v>
      </c>
      <c r="B23" s="9">
        <f>SUM(C23:W23)</f>
        <v>1893.4</v>
      </c>
      <c r="C23" s="9"/>
      <c r="D23" s="9">
        <f>54+46+83</f>
        <v>183</v>
      </c>
      <c r="E23" s="10">
        <f>SUM(55+80+50+120+80)</f>
        <v>385</v>
      </c>
      <c r="F23" s="3">
        <f>SUM(54+80+53+67+52+120+80+84)</f>
        <v>590</v>
      </c>
      <c r="G23" s="3">
        <f>SUM(50+80.4+84+80+80+67+85+84)</f>
        <v>610.4</v>
      </c>
      <c r="H23" s="3">
        <f>SUM(34+39+52)</f>
        <v>125</v>
      </c>
      <c r="L23" s="4"/>
      <c r="M23" s="4"/>
      <c r="N23" s="4"/>
      <c r="O23" s="4"/>
      <c r="R23" s="4"/>
      <c r="S23" s="4"/>
      <c r="T23" s="4"/>
      <c r="U23" s="4"/>
      <c r="V23" s="4"/>
      <c r="W23" s="4"/>
    </row>
    <row r="24" spans="1:23" ht="15.75" x14ac:dyDescent="0.25">
      <c r="A24" s="8" t="s">
        <v>21</v>
      </c>
      <c r="B24" s="9">
        <f>SUM(C24:W24)</f>
        <v>1835</v>
      </c>
      <c r="C24" s="9"/>
      <c r="D24" s="9">
        <v>31</v>
      </c>
      <c r="E24" s="10">
        <v>0</v>
      </c>
      <c r="F24" s="3"/>
      <c r="G24" s="3"/>
      <c r="H24" s="3"/>
      <c r="I24" s="3"/>
      <c r="J24" s="3"/>
      <c r="K24" s="3"/>
      <c r="L24" s="3">
        <v>90</v>
      </c>
      <c r="M24" s="3">
        <v>837</v>
      </c>
      <c r="N24" s="3">
        <v>494</v>
      </c>
      <c r="O24" s="3">
        <v>34</v>
      </c>
      <c r="P24" s="3"/>
      <c r="Q24" s="3">
        <v>100</v>
      </c>
      <c r="R24" s="3">
        <v>39</v>
      </c>
      <c r="S24" s="3">
        <v>50</v>
      </c>
      <c r="T24" s="3">
        <v>80</v>
      </c>
      <c r="U24" s="3">
        <v>80</v>
      </c>
      <c r="V24" s="3"/>
      <c r="W24" s="3"/>
    </row>
    <row r="25" spans="1:23" ht="15.75" x14ac:dyDescent="0.25">
      <c r="A25" s="8" t="s">
        <v>78</v>
      </c>
      <c r="B25" s="9">
        <f>SUM(C25:W25)</f>
        <v>1802.6</v>
      </c>
      <c r="C25" s="9">
        <f>40.5+44+81+85+86+86+56+50+120+80</f>
        <v>728.5</v>
      </c>
      <c r="D25" s="9">
        <f>54+80+53.6+83+52+48+120+48+50+82</f>
        <v>670.6</v>
      </c>
      <c r="E25" s="10">
        <f>SUM(32+54+60+40+80+52+85.5)</f>
        <v>403.5</v>
      </c>
      <c r="F25" s="3">
        <v>0</v>
      </c>
    </row>
    <row r="26" spans="1:23" ht="15.75" x14ac:dyDescent="0.25">
      <c r="A26" s="8" t="s">
        <v>24</v>
      </c>
      <c r="B26" s="9">
        <f>SUM(C26:W26)</f>
        <v>1802.2</v>
      </c>
      <c r="C26" s="9"/>
      <c r="D26" s="9">
        <f>31.6+46+53.6</f>
        <v>131.19999999999999</v>
      </c>
      <c r="E26" s="10">
        <v>0</v>
      </c>
      <c r="F26" s="3">
        <f>SUM(46+50+83+120+80+80+80+120)</f>
        <v>659</v>
      </c>
      <c r="G26" s="3">
        <f>SUM(51+81)</f>
        <v>132</v>
      </c>
      <c r="H26" s="3">
        <f>SUM(54+51)</f>
        <v>105</v>
      </c>
      <c r="I26" s="3">
        <v>60</v>
      </c>
      <c r="J26" s="3">
        <v>98</v>
      </c>
      <c r="K26" s="3">
        <v>280.5</v>
      </c>
      <c r="L26" s="3">
        <v>336.5</v>
      </c>
      <c r="P26" s="3"/>
      <c r="Q26" s="3"/>
    </row>
    <row r="27" spans="1:23" ht="15.75" x14ac:dyDescent="0.25">
      <c r="A27" s="8" t="s">
        <v>25</v>
      </c>
      <c r="B27" s="9">
        <f>SUM(C27:W27)</f>
        <v>1792</v>
      </c>
      <c r="C27" s="9"/>
      <c r="D27" s="9">
        <f>52+81</f>
        <v>133</v>
      </c>
      <c r="E27" s="10">
        <f>SUM(82)</f>
        <v>82</v>
      </c>
      <c r="F27" s="3">
        <f>SUM(81+100)</f>
        <v>181</v>
      </c>
      <c r="G27" s="3">
        <f>SUM(31)</f>
        <v>31</v>
      </c>
      <c r="H27" s="3">
        <f>SUM(30+51)</f>
        <v>81</v>
      </c>
      <c r="K27" s="4"/>
      <c r="L27" s="4"/>
      <c r="M27" s="3">
        <v>354</v>
      </c>
      <c r="N27" s="3">
        <v>582</v>
      </c>
      <c r="O27" s="3">
        <v>262</v>
      </c>
      <c r="P27" s="3">
        <v>55</v>
      </c>
      <c r="Q27" s="3">
        <v>31</v>
      </c>
    </row>
    <row r="28" spans="1:23" ht="15.75" x14ac:dyDescent="0.25">
      <c r="A28" s="8" t="s">
        <v>28</v>
      </c>
      <c r="B28" s="9">
        <f>SUM(C28:W28)</f>
        <v>1670</v>
      </c>
      <c r="C28" s="9"/>
      <c r="D28" s="9">
        <f>100+160</f>
        <v>260</v>
      </c>
      <c r="E28" s="10">
        <f>SUM(100+100)</f>
        <v>200</v>
      </c>
      <c r="F28" s="3">
        <f>SUM(120+120)</f>
        <v>240</v>
      </c>
      <c r="G28" s="3">
        <f>SUM(80+120+120+80+80+120+80)</f>
        <v>680</v>
      </c>
      <c r="H28" s="3">
        <f>SUM(34+45+51+80+80)</f>
        <v>290</v>
      </c>
    </row>
    <row r="29" spans="1:23" ht="15.75" x14ac:dyDescent="0.25">
      <c r="A29" s="8" t="s">
        <v>39</v>
      </c>
      <c r="B29" s="9">
        <f>SUM(C29:W29)</f>
        <v>1644.6</v>
      </c>
      <c r="C29" s="9">
        <f>124+56+82</f>
        <v>262</v>
      </c>
      <c r="D29" s="9">
        <f>84+80+120+81+120</f>
        <v>485</v>
      </c>
      <c r="E29" s="10">
        <f>SUM(53.6+49+80+80+50)</f>
        <v>312.60000000000002</v>
      </c>
      <c r="F29" s="3">
        <f>SUM(54+50+53+31+44)</f>
        <v>232</v>
      </c>
      <c r="G29" s="3">
        <f>SUM(53+50+38)</f>
        <v>141</v>
      </c>
      <c r="H29" s="3">
        <f>SUM(80)</f>
        <v>80</v>
      </c>
      <c r="I29" s="3">
        <v>132</v>
      </c>
      <c r="P29" s="3"/>
      <c r="Q29" s="3"/>
    </row>
    <row r="30" spans="1:23" ht="15.75" x14ac:dyDescent="0.25">
      <c r="A30" s="8" t="s">
        <v>43</v>
      </c>
      <c r="B30" s="9">
        <f>SUM(C30:W30)</f>
        <v>1617.1</v>
      </c>
      <c r="C30" s="9">
        <f>81+84+80</f>
        <v>245</v>
      </c>
      <c r="D30" s="9">
        <f>81+84+80+48+120+50+82</f>
        <v>545</v>
      </c>
      <c r="E30" s="10">
        <f>SUM(54+53.6+60+52+40+50+50+52)</f>
        <v>411.6</v>
      </c>
      <c r="F30" s="3">
        <f>SUM(46+54+53+52+31+40.5)</f>
        <v>276.5</v>
      </c>
      <c r="G30" s="3">
        <f>SUM(31+51+57)</f>
        <v>139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s="3" customFormat="1" ht="15.75" x14ac:dyDescent="0.25">
      <c r="A31" s="8" t="s">
        <v>27</v>
      </c>
      <c r="B31" s="9">
        <f>SUM(C31:W31)</f>
        <v>1572.8</v>
      </c>
      <c r="C31" s="9">
        <f>85+32</f>
        <v>117</v>
      </c>
      <c r="D31" s="9">
        <v>0</v>
      </c>
      <c r="E31" s="10">
        <f>SUM(120)</f>
        <v>120</v>
      </c>
      <c r="F31" s="3">
        <f>SUM(33.6+33.6+42.4+42.4+82.4+80+100)</f>
        <v>414.4</v>
      </c>
      <c r="G31" s="3">
        <f>SUM(34.6+45.9+48.4+81)</f>
        <v>209.9</v>
      </c>
      <c r="H31" s="3">
        <f>SUM(81)</f>
        <v>81</v>
      </c>
      <c r="I31" s="1"/>
      <c r="J31" s="3">
        <v>213.5</v>
      </c>
      <c r="K31" s="1"/>
      <c r="L31" s="1"/>
      <c r="M31" s="1"/>
      <c r="N31" s="3">
        <v>349</v>
      </c>
      <c r="O31" s="3">
        <v>68</v>
      </c>
      <c r="R31" s="1"/>
      <c r="S31" s="1"/>
      <c r="T31" s="1"/>
      <c r="U31" s="1"/>
      <c r="V31" s="1"/>
      <c r="W31" s="1"/>
    </row>
    <row r="32" spans="1:23" s="4" customFormat="1" ht="15.75" x14ac:dyDescent="0.25">
      <c r="A32" s="8" t="s">
        <v>66</v>
      </c>
      <c r="B32" s="9">
        <f>SUM(C32:W32)</f>
        <v>1465.6</v>
      </c>
      <c r="C32" s="9">
        <f>54+56+124+120+120</f>
        <v>474</v>
      </c>
      <c r="D32" s="9">
        <f>81+80+83+120+80</f>
        <v>444</v>
      </c>
      <c r="E32" s="10">
        <f>SUM(49+87.6+81)</f>
        <v>217.6</v>
      </c>
      <c r="F32" s="3">
        <f>SUM(30+53+56)</f>
        <v>139</v>
      </c>
      <c r="G32" s="3">
        <f>SUM(30+53+51+57)</f>
        <v>191</v>
      </c>
    </row>
    <row r="33" spans="1:24" ht="15.75" x14ac:dyDescent="0.25">
      <c r="A33" s="8" t="s">
        <v>30</v>
      </c>
      <c r="B33" s="9">
        <f>SUM(C33:W33)</f>
        <v>1419.95</v>
      </c>
      <c r="C33" s="9"/>
      <c r="D33" s="9">
        <f>54+80</f>
        <v>134</v>
      </c>
      <c r="E33" s="10">
        <f>SUM(82)</f>
        <v>82</v>
      </c>
      <c r="F33" s="3">
        <v>0</v>
      </c>
      <c r="G33" s="3">
        <f>SUM(53.6+84)</f>
        <v>137.6</v>
      </c>
      <c r="I33" s="3">
        <v>52.5</v>
      </c>
      <c r="J33" s="3">
        <v>224.85</v>
      </c>
      <c r="K33" s="3">
        <v>281</v>
      </c>
      <c r="L33" s="3">
        <v>386</v>
      </c>
      <c r="M33" s="3">
        <v>122</v>
      </c>
      <c r="P33" s="3"/>
      <c r="Q33" s="3"/>
    </row>
    <row r="34" spans="1:24" ht="15.75" x14ac:dyDescent="0.25">
      <c r="A34" s="8" t="s">
        <v>32</v>
      </c>
      <c r="B34" s="9">
        <f>SUM(C34:W34)</f>
        <v>1406.85</v>
      </c>
      <c r="C34" s="9">
        <v>84</v>
      </c>
      <c r="D34" s="9">
        <f>81+31</f>
        <v>112</v>
      </c>
      <c r="E34" s="10">
        <v>0</v>
      </c>
      <c r="F34" s="3">
        <v>0</v>
      </c>
      <c r="I34" s="3">
        <v>200</v>
      </c>
      <c r="J34" s="3">
        <v>262.85000000000002</v>
      </c>
      <c r="N34" s="3">
        <v>280</v>
      </c>
      <c r="P34" s="3">
        <v>78</v>
      </c>
      <c r="Q34" s="3">
        <v>100</v>
      </c>
      <c r="S34" s="3">
        <v>50</v>
      </c>
      <c r="T34" s="3">
        <v>160</v>
      </c>
      <c r="U34" s="3">
        <v>80</v>
      </c>
    </row>
    <row r="35" spans="1:24" ht="15.75" x14ac:dyDescent="0.25">
      <c r="A35" s="8" t="s">
        <v>33</v>
      </c>
      <c r="B35" s="9">
        <f>SUM(C35:W35)</f>
        <v>1327.8</v>
      </c>
      <c r="C35" s="9"/>
      <c r="D35" s="9">
        <f>46+80</f>
        <v>126</v>
      </c>
      <c r="E35" s="10">
        <f>SUM(54+35+60+30+50+80+82)</f>
        <v>391</v>
      </c>
      <c r="F35" s="3">
        <f>SUM(35+30+52+52)</f>
        <v>169</v>
      </c>
      <c r="K35" s="3">
        <v>101</v>
      </c>
      <c r="L35" s="3">
        <v>197.8</v>
      </c>
      <c r="M35" s="3">
        <v>343</v>
      </c>
      <c r="N35" s="4"/>
      <c r="O35" s="4"/>
      <c r="P35" s="3"/>
      <c r="Q35" s="3"/>
      <c r="R35" s="4"/>
      <c r="S35" s="4"/>
      <c r="T35" s="4"/>
      <c r="U35" s="4"/>
      <c r="V35" s="4"/>
      <c r="W35" s="4"/>
    </row>
    <row r="36" spans="1:24" ht="15.75" x14ac:dyDescent="0.25">
      <c r="A36" s="8" t="s">
        <v>63</v>
      </c>
      <c r="B36" s="9">
        <f>SUM(C36:W36)</f>
        <v>1264.0999999999999</v>
      </c>
      <c r="C36" s="9"/>
      <c r="D36" s="9">
        <f>84+80+80+80+80+160+120</f>
        <v>684</v>
      </c>
      <c r="E36" s="10">
        <f>SUM(80+80+82.5+122)</f>
        <v>364.5</v>
      </c>
      <c r="F36" s="3">
        <f>SUM(33.6+52+50+80)</f>
        <v>215.6</v>
      </c>
    </row>
    <row r="37" spans="1:24" ht="15.75" x14ac:dyDescent="0.25">
      <c r="A37" s="8" t="s">
        <v>46</v>
      </c>
      <c r="B37" s="9">
        <f>SUM(C37:W37)</f>
        <v>1232.4000000000001</v>
      </c>
      <c r="C37" s="9">
        <f>86+122</f>
        <v>208</v>
      </c>
      <c r="D37" s="9">
        <f>81+80+80.4</f>
        <v>241.4</v>
      </c>
      <c r="E37" s="10">
        <f>SUM(55+49+80+80+120+80+82+80+85.5)</f>
        <v>711.5</v>
      </c>
      <c r="F37" s="3">
        <f>SUM(31+40.5)</f>
        <v>71.5</v>
      </c>
    </row>
    <row r="38" spans="1:24" ht="15.75" x14ac:dyDescent="0.25">
      <c r="A38" s="8" t="s">
        <v>31</v>
      </c>
      <c r="B38" s="9">
        <f>SUM(C38:W38)</f>
        <v>1219.0999999999999</v>
      </c>
      <c r="C38" s="9"/>
      <c r="D38" s="9">
        <v>0</v>
      </c>
      <c r="E38" s="10">
        <v>0</v>
      </c>
      <c r="F38" s="3">
        <v>0</v>
      </c>
      <c r="G38" s="3">
        <f>SUM(80.4+34+120+52+50+89+81+81)</f>
        <v>587.4</v>
      </c>
      <c r="H38" s="3">
        <f>SUM(38.5+80+86.2+51+80)</f>
        <v>335.7</v>
      </c>
      <c r="I38" s="3">
        <f>SUM(60+52.5+60+81)</f>
        <v>253.5</v>
      </c>
      <c r="J38" s="3">
        <f>SUM(42.5)</f>
        <v>42.5</v>
      </c>
    </row>
    <row r="39" spans="1:24" ht="15.75" x14ac:dyDescent="0.25">
      <c r="A39" s="8" t="s">
        <v>50</v>
      </c>
      <c r="B39" s="9">
        <f>SUM(C39:W39)</f>
        <v>1182.8</v>
      </c>
      <c r="C39" s="9">
        <f>56+84</f>
        <v>140</v>
      </c>
      <c r="D39" s="9">
        <f>54+80+53.6+50+80</f>
        <v>317.60000000000002</v>
      </c>
      <c r="E39" s="10">
        <f>SUM(53.6+55+80+80)</f>
        <v>268.60000000000002</v>
      </c>
      <c r="F39" s="3">
        <f>SUM(54+80+34+56)</f>
        <v>224</v>
      </c>
      <c r="G39" s="3">
        <f>SUM(53.6+85+57)</f>
        <v>195.6</v>
      </c>
      <c r="H39" s="3">
        <f>SUM(37)</f>
        <v>37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4" ht="15.75" x14ac:dyDescent="0.25">
      <c r="A40" s="8" t="s">
        <v>36</v>
      </c>
      <c r="B40" s="9">
        <f>SUM(C40:W40)</f>
        <v>1177.45</v>
      </c>
      <c r="C40" s="9">
        <v>54</v>
      </c>
      <c r="D40" s="9">
        <v>53.6</v>
      </c>
      <c r="E40" s="10">
        <f>SUM(54+52)</f>
        <v>106</v>
      </c>
      <c r="F40" s="3">
        <f>SUM(50+54+53+52)</f>
        <v>209</v>
      </c>
      <c r="G40" s="3">
        <f>SUM(52+51)</f>
        <v>103</v>
      </c>
      <c r="H40" s="3">
        <f>SUM(80+80)</f>
        <v>160</v>
      </c>
      <c r="I40" s="3">
        <v>262</v>
      </c>
      <c r="J40" s="3">
        <v>187.85</v>
      </c>
      <c r="K40" s="3">
        <v>42</v>
      </c>
      <c r="L40" s="4"/>
      <c r="M40" s="4"/>
      <c r="N40" s="4"/>
      <c r="O40" s="4"/>
      <c r="P40" s="3"/>
      <c r="Q40" s="3"/>
      <c r="R40" s="4"/>
      <c r="S40" s="4"/>
      <c r="T40" s="4"/>
      <c r="U40" s="4"/>
      <c r="V40" s="4"/>
      <c r="W40" s="4"/>
    </row>
    <row r="41" spans="1:24" ht="15.75" x14ac:dyDescent="0.25">
      <c r="A41" s="8" t="s">
        <v>34</v>
      </c>
      <c r="B41" s="9">
        <f>SUM(C41:W41)</f>
        <v>1171</v>
      </c>
      <c r="C41" s="9"/>
      <c r="D41" s="9">
        <v>32</v>
      </c>
      <c r="E41" s="10">
        <f>SUM(53.6+55)</f>
        <v>108.6</v>
      </c>
      <c r="F41" s="3">
        <f>SUM(120+84+85+84)</f>
        <v>373</v>
      </c>
      <c r="G41" s="3">
        <f>SUM(50+80.4+53+89+85)</f>
        <v>357.4</v>
      </c>
      <c r="H41" s="3">
        <f>SUM(51+67+88+52)</f>
        <v>258</v>
      </c>
      <c r="I41" s="3">
        <v>42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4" ht="15.75" x14ac:dyDescent="0.25">
      <c r="A42" s="8" t="s">
        <v>37</v>
      </c>
      <c r="B42" s="9">
        <f>SUM(C42:W42)</f>
        <v>1136.95</v>
      </c>
      <c r="C42" s="9">
        <v>52</v>
      </c>
      <c r="D42" s="9">
        <f>31.6+50</f>
        <v>81.599999999999994</v>
      </c>
      <c r="E42" s="10">
        <f>SUM(30+50+52.5)</f>
        <v>132.5</v>
      </c>
      <c r="F42" s="3">
        <f>SUM(52)</f>
        <v>52</v>
      </c>
      <c r="G42" s="3">
        <f>SUM(34+50+52)</f>
        <v>136</v>
      </c>
      <c r="H42" s="3">
        <f>SUM(30+53+34+62)</f>
        <v>179</v>
      </c>
      <c r="I42" s="3">
        <v>52.5</v>
      </c>
      <c r="J42" s="3">
        <v>187.85</v>
      </c>
      <c r="K42" s="3">
        <v>229.5</v>
      </c>
      <c r="L42" s="3">
        <v>34</v>
      </c>
      <c r="P42" s="3"/>
      <c r="Q42" s="3"/>
    </row>
    <row r="43" spans="1:24" ht="15.75" x14ac:dyDescent="0.25">
      <c r="A43" s="8" t="s">
        <v>35</v>
      </c>
      <c r="B43" s="9">
        <f>SUM(C43:W43)</f>
        <v>1122.5</v>
      </c>
      <c r="C43" s="9"/>
      <c r="D43" s="9">
        <v>0</v>
      </c>
      <c r="E43" s="10">
        <f>SUM(120+50+85.5)</f>
        <v>255.5</v>
      </c>
      <c r="F43" s="3">
        <f>SUM(54+80+85+120)</f>
        <v>339</v>
      </c>
      <c r="G43" s="3">
        <f>SUM(50+52+81+84+81)</f>
        <v>348</v>
      </c>
      <c r="H43" s="3">
        <f>SUM(37+52)</f>
        <v>89</v>
      </c>
      <c r="N43" s="3">
        <v>51</v>
      </c>
      <c r="O43" s="3">
        <v>40</v>
      </c>
      <c r="P43" s="3"/>
      <c r="Q43" s="3"/>
    </row>
    <row r="44" spans="1:24" ht="15.75" x14ac:dyDescent="0.25">
      <c r="A44" s="8" t="s">
        <v>40</v>
      </c>
      <c r="B44" s="9">
        <f>SUM(C44:W44)</f>
        <v>1104.0999999999999</v>
      </c>
      <c r="C44" s="9">
        <v>33</v>
      </c>
      <c r="D44" s="9">
        <f>36+80+80</f>
        <v>196</v>
      </c>
      <c r="E44" s="10">
        <f>SUM(64+53.6+60+80)</f>
        <v>257.60000000000002</v>
      </c>
      <c r="F44" s="3">
        <f>SUM(54+34+31+34+32)</f>
        <v>185</v>
      </c>
      <c r="G44" s="3">
        <f>SUM(50+81+67+85)</f>
        <v>283</v>
      </c>
      <c r="H44" s="3">
        <f>SUM(54+53)</f>
        <v>107</v>
      </c>
      <c r="J44" s="3">
        <v>42.5</v>
      </c>
      <c r="P44" s="3"/>
      <c r="Q44" s="3"/>
      <c r="X44" s="3"/>
    </row>
    <row r="45" spans="1:24" ht="15.75" x14ac:dyDescent="0.25">
      <c r="A45" s="8" t="s">
        <v>38</v>
      </c>
      <c r="B45" s="9">
        <f>SUM(C45:W45)</f>
        <v>1102</v>
      </c>
      <c r="C45" s="9">
        <v>84</v>
      </c>
      <c r="D45" s="9">
        <v>46</v>
      </c>
      <c r="E45" s="10">
        <f>SUM(54+120+120)</f>
        <v>294</v>
      </c>
      <c r="F45" s="3">
        <f>SUM(46+80+84+85+80)</f>
        <v>375</v>
      </c>
      <c r="G45" s="3">
        <f>SUM(42+50+67+85+59)</f>
        <v>303</v>
      </c>
    </row>
    <row r="46" spans="1:24" ht="15.75" x14ac:dyDescent="0.25">
      <c r="A46" s="8" t="s">
        <v>57</v>
      </c>
      <c r="B46" s="9">
        <f>SUM(C46:W46)</f>
        <v>1099.5999999999999</v>
      </c>
      <c r="C46" s="9">
        <v>84</v>
      </c>
      <c r="D46" s="9">
        <f>80+80+80+120</f>
        <v>360</v>
      </c>
      <c r="E46" s="10">
        <f>SUM(80+120)</f>
        <v>200</v>
      </c>
      <c r="F46" s="3">
        <f>SUM(33.6+52+50+80+80+80+80)</f>
        <v>455.6</v>
      </c>
    </row>
    <row r="47" spans="1:24" ht="15.75" x14ac:dyDescent="0.25">
      <c r="A47" s="8" t="s">
        <v>42</v>
      </c>
      <c r="B47" s="9">
        <f>SUM(C47:W47)</f>
        <v>1070.9000000000001</v>
      </c>
      <c r="C47" s="9"/>
      <c r="D47" s="9">
        <f>46+80.7+80</f>
        <v>206.7</v>
      </c>
      <c r="E47" s="10">
        <f>SUM(55+87.6+80+52.5)</f>
        <v>275.10000000000002</v>
      </c>
      <c r="F47" s="3">
        <f>SUM(33.6+42.4+42.4+82.4+82.4+100)</f>
        <v>383.20000000000005</v>
      </c>
      <c r="G47" s="3">
        <f>SUM(30.6+45.9+48.4+81)</f>
        <v>205.9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4" ht="15.75" x14ac:dyDescent="0.25">
      <c r="A48" s="13" t="s">
        <v>348</v>
      </c>
      <c r="B48" s="9">
        <f>SUM(C48:W48)</f>
        <v>1048</v>
      </c>
      <c r="C48" s="9">
        <f>30+124+56+120+84</f>
        <v>414</v>
      </c>
      <c r="D48" s="14">
        <f>84+30+160+160+80+120</f>
        <v>634</v>
      </c>
      <c r="E48" s="15"/>
    </row>
    <row r="49" spans="1:23" ht="15.75" x14ac:dyDescent="0.25">
      <c r="A49" s="8" t="s">
        <v>47</v>
      </c>
      <c r="B49" s="9">
        <f>SUM(C49:W49)</f>
        <v>1031.3</v>
      </c>
      <c r="C49" s="9"/>
      <c r="D49" s="9">
        <f>46+54+80.7+80</f>
        <v>260.7</v>
      </c>
      <c r="E49" s="10">
        <f>SUM(87.6+30+80)</f>
        <v>197.6</v>
      </c>
      <c r="F49" s="3">
        <f>SUM(42.4+42.4+32.8+42.4+82.4+82.4+80+84)</f>
        <v>488.8</v>
      </c>
      <c r="G49" s="3">
        <f>SUM(34.6+49.6)</f>
        <v>84.2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5.75" x14ac:dyDescent="0.25">
      <c r="A50" s="8" t="s">
        <v>64</v>
      </c>
      <c r="B50" s="9">
        <f>SUM(C50:W50)</f>
        <v>1002.9</v>
      </c>
      <c r="C50" s="9">
        <f>56+32</f>
        <v>88</v>
      </c>
      <c r="D50" s="9">
        <f>46+54+50+53.6+50+48+50</f>
        <v>351.6</v>
      </c>
      <c r="E50" s="10">
        <f>SUM(53.6+60+53.6+50+40+50)</f>
        <v>307.2</v>
      </c>
      <c r="F50" s="3">
        <f>SUM(30+33.6+52+40.5+44+56)</f>
        <v>256.10000000000002</v>
      </c>
    </row>
    <row r="51" spans="1:23" ht="15.75" x14ac:dyDescent="0.25">
      <c r="A51" s="8" t="s">
        <v>359</v>
      </c>
      <c r="B51" s="9">
        <f>SUM(C51:W51)</f>
        <v>995</v>
      </c>
      <c r="C51" s="9">
        <v>54</v>
      </c>
      <c r="D51" s="9">
        <f>50+50+80+80+50+55</f>
        <v>365</v>
      </c>
      <c r="E51" s="10">
        <f>SUM(80+80+40+50+82)</f>
        <v>332</v>
      </c>
      <c r="F51" s="3">
        <f>SUM(85)</f>
        <v>85</v>
      </c>
      <c r="G51" s="3">
        <f>SUM(50)</f>
        <v>50</v>
      </c>
      <c r="H51" s="3">
        <f>SUM(30+45)</f>
        <v>75</v>
      </c>
      <c r="I51" s="4"/>
      <c r="J51" s="4"/>
      <c r="K51" s="4"/>
      <c r="L51" s="3">
        <v>34</v>
      </c>
      <c r="M51" s="4"/>
      <c r="N51" s="4"/>
      <c r="O51" s="3">
        <v>0</v>
      </c>
      <c r="P51" s="3"/>
      <c r="Q51" s="3"/>
      <c r="R51" s="4"/>
      <c r="S51" s="4"/>
      <c r="T51" s="4"/>
      <c r="U51" s="4"/>
      <c r="V51" s="4"/>
      <c r="W51" s="4"/>
    </row>
    <row r="52" spans="1:23" ht="15.75" x14ac:dyDescent="0.25">
      <c r="A52" s="8" t="s">
        <v>62</v>
      </c>
      <c r="B52" s="9">
        <f>SUM(C52:W52)</f>
        <v>984.45</v>
      </c>
      <c r="C52" s="9">
        <f>86+56</f>
        <v>142</v>
      </c>
      <c r="D52" s="9">
        <f>50+32+48+82</f>
        <v>212</v>
      </c>
      <c r="E52" s="10">
        <f>SUM(54+53.6+49+30)</f>
        <v>186.6</v>
      </c>
      <c r="F52" s="3">
        <v>0</v>
      </c>
      <c r="G52" s="3">
        <f>SUM(31)</f>
        <v>31</v>
      </c>
      <c r="J52" s="3">
        <v>160.85</v>
      </c>
      <c r="L52" s="3">
        <v>55</v>
      </c>
      <c r="M52" s="3">
        <v>197</v>
      </c>
      <c r="P52" s="3"/>
      <c r="Q52" s="3"/>
    </row>
    <row r="53" spans="1:23" ht="15.75" x14ac:dyDescent="0.25">
      <c r="A53" s="8" t="s">
        <v>194</v>
      </c>
      <c r="B53" s="9">
        <f>SUM(C53:W53)</f>
        <v>926.5</v>
      </c>
      <c r="C53" s="9">
        <f>84+84+120+84</f>
        <v>372</v>
      </c>
      <c r="D53" s="9">
        <f>46+54+84+80+80+48+80</f>
        <v>472</v>
      </c>
      <c r="E53" s="10">
        <f>SUM(30+52.5)</f>
        <v>82.5</v>
      </c>
    </row>
    <row r="54" spans="1:23" ht="15.75" x14ac:dyDescent="0.25">
      <c r="A54" s="12" t="s">
        <v>93</v>
      </c>
      <c r="B54" s="9">
        <f>SUM(C54:W54)</f>
        <v>921.7</v>
      </c>
      <c r="C54" s="9">
        <f>54+56+86+31+84</f>
        <v>311</v>
      </c>
      <c r="D54" s="9">
        <f>54+50+53.6+50+80</f>
        <v>287.60000000000002</v>
      </c>
      <c r="E54" s="10">
        <f>SUM(35+53.6+50+52.5)</f>
        <v>191.1</v>
      </c>
      <c r="F54" s="3">
        <f>SUM(34+32+34+32)</f>
        <v>132</v>
      </c>
    </row>
    <row r="55" spans="1:23" ht="15.75" x14ac:dyDescent="0.25">
      <c r="A55" s="8" t="s">
        <v>41</v>
      </c>
      <c r="B55" s="9">
        <f>SUM(C55:W55)</f>
        <v>868.6</v>
      </c>
      <c r="C55" s="9"/>
      <c r="D55" s="9">
        <v>0</v>
      </c>
      <c r="E55" s="10">
        <v>0</v>
      </c>
      <c r="F55" s="3">
        <f>SUM(80+83)</f>
        <v>163</v>
      </c>
      <c r="G55" s="3">
        <f>SUM(53.6+120+59+81)</f>
        <v>313.60000000000002</v>
      </c>
      <c r="H55" s="3">
        <f>SUM(34+54+81)</f>
        <v>169</v>
      </c>
      <c r="I55" s="3">
        <v>181</v>
      </c>
      <c r="J55" s="3">
        <v>42</v>
      </c>
      <c r="P55" s="3"/>
      <c r="Q55" s="3"/>
    </row>
    <row r="56" spans="1:23" ht="15.75" x14ac:dyDescent="0.25">
      <c r="A56" s="8" t="s">
        <v>72</v>
      </c>
      <c r="B56" s="9">
        <f>SUM(C56:W56)</f>
        <v>859.6</v>
      </c>
      <c r="C56" s="9">
        <f>84+120+84</f>
        <v>288</v>
      </c>
      <c r="D56" s="9">
        <f>31.6+46</f>
        <v>77.599999999999994</v>
      </c>
      <c r="E56" s="10">
        <f>SUM(80+122)</f>
        <v>202</v>
      </c>
      <c r="F56" s="1">
        <f>SUM(32+50+50+80+80)</f>
        <v>292</v>
      </c>
    </row>
    <row r="57" spans="1:23" ht="15.75" x14ac:dyDescent="0.25">
      <c r="A57" s="8" t="s">
        <v>56</v>
      </c>
      <c r="B57" s="9">
        <f>SUM(C57:W57)</f>
        <v>839</v>
      </c>
      <c r="C57" s="9"/>
      <c r="D57" s="9">
        <f>40+50+82</f>
        <v>172</v>
      </c>
      <c r="E57" s="10">
        <f>SUM(82)</f>
        <v>82</v>
      </c>
      <c r="F57" s="3">
        <v>0</v>
      </c>
      <c r="I57" s="3">
        <v>112.5</v>
      </c>
      <c r="K57" s="3">
        <v>219.5</v>
      </c>
      <c r="L57" s="3">
        <v>162</v>
      </c>
      <c r="M57" s="3">
        <v>91</v>
      </c>
      <c r="P57" s="3"/>
      <c r="Q57" s="3"/>
    </row>
    <row r="58" spans="1:23" ht="15.75" x14ac:dyDescent="0.25">
      <c r="A58" s="8" t="s">
        <v>156</v>
      </c>
      <c r="B58" s="9">
        <f>SUM(C58:W58)</f>
        <v>827.7</v>
      </c>
      <c r="C58" s="9">
        <f>40.5+44+81+85+124</f>
        <v>374.5</v>
      </c>
      <c r="D58" s="9">
        <f>54+50+53.6+52+50+55</f>
        <v>314.60000000000002</v>
      </c>
      <c r="E58" s="10">
        <f>SUM(36+53.6+49)</f>
        <v>138.6</v>
      </c>
      <c r="F58" s="3">
        <v>0</v>
      </c>
    </row>
    <row r="59" spans="1:23" ht="15.75" x14ac:dyDescent="0.25">
      <c r="A59" s="8" t="s">
        <v>102</v>
      </c>
      <c r="B59" s="9">
        <f>SUM(C59:W59)</f>
        <v>822.1</v>
      </c>
      <c r="C59" s="9">
        <f>82+84</f>
        <v>166</v>
      </c>
      <c r="D59" s="9">
        <f>80+80+80+120</f>
        <v>360</v>
      </c>
      <c r="E59" s="10">
        <f>SUM(82.5)</f>
        <v>82.5</v>
      </c>
      <c r="F59" s="3">
        <f>SUM(33.6+50+50+80)</f>
        <v>213.6</v>
      </c>
    </row>
    <row r="60" spans="1:23" ht="15.75" x14ac:dyDescent="0.25">
      <c r="A60" s="8" t="s">
        <v>55</v>
      </c>
      <c r="B60" s="9">
        <f>SUM(C60:W60)</f>
        <v>810</v>
      </c>
      <c r="C60" s="9"/>
      <c r="D60" s="9">
        <f>50+80</f>
        <v>130</v>
      </c>
      <c r="E60" s="10">
        <v>0</v>
      </c>
      <c r="F60" s="3">
        <f>SUM(34)</f>
        <v>34</v>
      </c>
      <c r="H60" s="3">
        <f>SUM(51)</f>
        <v>51</v>
      </c>
      <c r="K60" s="3">
        <v>85</v>
      </c>
      <c r="L60" s="3">
        <v>144</v>
      </c>
      <c r="M60" s="3">
        <v>142</v>
      </c>
      <c r="N60" s="3">
        <v>224</v>
      </c>
      <c r="P60" s="3"/>
      <c r="Q60" s="3"/>
    </row>
    <row r="61" spans="1:23" ht="15.75" x14ac:dyDescent="0.25">
      <c r="A61" s="8" t="s">
        <v>44</v>
      </c>
      <c r="B61" s="9">
        <f>SUM(C61:W61)</f>
        <v>804.35</v>
      </c>
      <c r="C61" s="9"/>
      <c r="D61" s="9">
        <v>0</v>
      </c>
      <c r="E61" s="10">
        <v>0</v>
      </c>
      <c r="F61" s="3">
        <v>0</v>
      </c>
      <c r="H61" s="3">
        <f>SUM(53+80+67)</f>
        <v>200</v>
      </c>
      <c r="I61" s="3">
        <v>80</v>
      </c>
      <c r="J61" s="3">
        <v>425.85</v>
      </c>
      <c r="K61" s="3">
        <v>98.5</v>
      </c>
      <c r="P61" s="3"/>
      <c r="Q61" s="3"/>
    </row>
    <row r="62" spans="1:23" ht="15.75" x14ac:dyDescent="0.25">
      <c r="A62" s="8" t="s">
        <v>45</v>
      </c>
      <c r="B62" s="9">
        <f>SUM(C62:W62)</f>
        <v>793.5</v>
      </c>
      <c r="C62" s="9"/>
      <c r="D62" s="9">
        <v>0</v>
      </c>
      <c r="E62" s="10">
        <f>SUM(120+80)</f>
        <v>200</v>
      </c>
      <c r="F62" s="3">
        <f>SUM(54+84+83+40.5+80+32)</f>
        <v>373.5</v>
      </c>
      <c r="G62" s="3">
        <f>SUM(31+67+51)</f>
        <v>149</v>
      </c>
      <c r="H62" s="3">
        <f>SUM(37+34)</f>
        <v>71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5.75" x14ac:dyDescent="0.25">
      <c r="A63" s="8" t="s">
        <v>49</v>
      </c>
      <c r="B63" s="9">
        <f>SUM(C63:W63)</f>
        <v>777.1</v>
      </c>
      <c r="C63" s="9">
        <v>44</v>
      </c>
      <c r="D63" s="9">
        <v>0</v>
      </c>
      <c r="E63" s="10">
        <f>SUM(60+53.6+80+82)</f>
        <v>275.60000000000002</v>
      </c>
      <c r="F63" s="3">
        <f>SUM(30+32+31+40.5+56)</f>
        <v>189.5</v>
      </c>
      <c r="G63" s="4"/>
      <c r="H63" s="3">
        <f>SUM(81+53)</f>
        <v>134</v>
      </c>
      <c r="I63" s="3">
        <v>50</v>
      </c>
      <c r="J63" s="4"/>
      <c r="K63" s="3">
        <v>84</v>
      </c>
      <c r="L63" s="4"/>
      <c r="M63" s="4"/>
      <c r="N63" s="4"/>
      <c r="O63" s="4"/>
      <c r="P63" s="3"/>
      <c r="Q63" s="3"/>
      <c r="R63" s="4"/>
      <c r="S63" s="4"/>
      <c r="T63" s="4"/>
      <c r="U63" s="4"/>
      <c r="V63" s="4"/>
      <c r="W63" s="4"/>
    </row>
    <row r="64" spans="1:23" ht="15.75" x14ac:dyDescent="0.25">
      <c r="A64" s="20" t="s">
        <v>360</v>
      </c>
      <c r="B64" s="9">
        <f>SUM(C64:W64)</f>
        <v>746</v>
      </c>
      <c r="C64" s="19">
        <f>82+124+56+120+160+120+84</f>
        <v>746</v>
      </c>
    </row>
    <row r="65" spans="1:25" ht="15.75" x14ac:dyDescent="0.25">
      <c r="A65" s="8" t="s">
        <v>48</v>
      </c>
      <c r="B65" s="9">
        <f>SUM(C65:W65)</f>
        <v>744.3</v>
      </c>
      <c r="C65" s="9"/>
      <c r="D65" s="9">
        <v>0</v>
      </c>
      <c r="E65" s="10">
        <v>0</v>
      </c>
      <c r="F65" s="3">
        <v>0</v>
      </c>
      <c r="H65" s="3">
        <f>SUM(34+67+51)</f>
        <v>152</v>
      </c>
      <c r="K65" s="3">
        <v>84</v>
      </c>
      <c r="L65" s="3">
        <v>345.3</v>
      </c>
      <c r="M65" s="3">
        <v>163</v>
      </c>
      <c r="P65" s="3"/>
      <c r="Q65" s="3"/>
    </row>
    <row r="66" spans="1:25" ht="15.75" x14ac:dyDescent="0.25">
      <c r="A66" s="8" t="s">
        <v>68</v>
      </c>
      <c r="B66" s="9">
        <f>SUM(C66:W66)</f>
        <v>716.5</v>
      </c>
      <c r="C66" s="9">
        <v>54</v>
      </c>
      <c r="D66" s="9">
        <f>80+55</f>
        <v>135</v>
      </c>
      <c r="E66" s="10">
        <f>SUM(55+35+60+82.5+80+80)</f>
        <v>392.5</v>
      </c>
      <c r="F66" s="3">
        <f>SUM(50+54)</f>
        <v>104</v>
      </c>
      <c r="G66" s="3">
        <f>SUM(31)</f>
        <v>31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5" ht="15.75" x14ac:dyDescent="0.25">
      <c r="A67" s="8" t="s">
        <v>51</v>
      </c>
      <c r="B67" s="9">
        <f>SUM(C67:W67)</f>
        <v>712.5</v>
      </c>
      <c r="C67" s="9"/>
      <c r="D67" s="9">
        <v>0</v>
      </c>
      <c r="E67" s="10">
        <v>0</v>
      </c>
      <c r="F67" s="3">
        <f>SUM(34)</f>
        <v>34</v>
      </c>
      <c r="G67" s="3">
        <f>SUM(50)</f>
        <v>50</v>
      </c>
      <c r="H67" s="3">
        <f>SUM(54+53+51+67)</f>
        <v>225</v>
      </c>
      <c r="I67" s="3">
        <v>197</v>
      </c>
      <c r="J67" s="3">
        <v>124.5</v>
      </c>
      <c r="K67" s="3">
        <v>82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5" s="3" customFormat="1" ht="15.75" x14ac:dyDescent="0.25">
      <c r="A68" s="8" t="s">
        <v>58</v>
      </c>
      <c r="B68" s="9">
        <f>SUM(C68:W68)</f>
        <v>707.4</v>
      </c>
      <c r="C68" s="9">
        <v>52</v>
      </c>
      <c r="D68" s="9">
        <v>0</v>
      </c>
      <c r="E68" s="10">
        <f>SUM(80)</f>
        <v>80</v>
      </c>
      <c r="F68" s="3">
        <f>SUM(67)</f>
        <v>67</v>
      </c>
      <c r="G68" s="3">
        <f>SUM(80.4+84+85+81)</f>
        <v>330.4</v>
      </c>
      <c r="H68" s="3">
        <f>SUM(30+45+51+52)</f>
        <v>178</v>
      </c>
    </row>
    <row r="69" spans="1:25" s="4" customFormat="1" ht="15.75" x14ac:dyDescent="0.25">
      <c r="A69" s="8" t="s">
        <v>52</v>
      </c>
      <c r="B69" s="9">
        <f>SUM(C69:W69)</f>
        <v>696.5</v>
      </c>
      <c r="C69" s="9"/>
      <c r="D69" s="9">
        <v>0</v>
      </c>
      <c r="E69" s="10">
        <v>0</v>
      </c>
      <c r="F69" s="3">
        <f>SUM(32)</f>
        <v>32</v>
      </c>
      <c r="G69" s="3">
        <f>SUM(50)</f>
        <v>50</v>
      </c>
      <c r="H69" s="3">
        <f>SUM(30+34+34+39)</f>
        <v>137</v>
      </c>
      <c r="I69" s="3">
        <v>42.5</v>
      </c>
      <c r="J69" s="3">
        <v>171</v>
      </c>
      <c r="K69" s="3">
        <v>124</v>
      </c>
      <c r="L69" s="1"/>
      <c r="M69" s="3">
        <v>71</v>
      </c>
      <c r="N69" s="1"/>
      <c r="O69" s="3">
        <v>69</v>
      </c>
      <c r="P69" s="3"/>
      <c r="Q69" s="3"/>
      <c r="R69" s="1"/>
      <c r="S69" s="1"/>
      <c r="T69" s="1"/>
      <c r="U69" s="1"/>
      <c r="V69" s="1"/>
      <c r="W69" s="1"/>
    </row>
    <row r="70" spans="1:25" s="3" customFormat="1" ht="15.75" x14ac:dyDescent="0.25">
      <c r="A70" s="8" t="s">
        <v>53</v>
      </c>
      <c r="B70" s="9">
        <f>SUM(C70:W70)</f>
        <v>693.6</v>
      </c>
      <c r="C70" s="9"/>
      <c r="D70" s="9">
        <v>0</v>
      </c>
      <c r="E70" s="10">
        <f>SUM(60)</f>
        <v>60</v>
      </c>
      <c r="F70" s="3">
        <f>SUM(30+53+83+32)</f>
        <v>198</v>
      </c>
      <c r="G70" s="3">
        <f>SUM(50+53.6+52+51)</f>
        <v>206.6</v>
      </c>
      <c r="H70" s="3">
        <f>SUM(34+45+62+88)</f>
        <v>229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5" ht="15.75" x14ac:dyDescent="0.25">
      <c r="A71" s="8" t="s">
        <v>127</v>
      </c>
      <c r="B71" s="9">
        <f>SUM(C71:W71)</f>
        <v>689.9</v>
      </c>
      <c r="C71" s="9">
        <v>80</v>
      </c>
      <c r="D71" s="9">
        <f>46+46+80.4+80+80+82</f>
        <v>414.4</v>
      </c>
      <c r="E71" s="10">
        <f>SUM(30+50+52.5)</f>
        <v>132.5</v>
      </c>
      <c r="F71" s="3">
        <v>0</v>
      </c>
      <c r="G71" s="4"/>
      <c r="H71" s="3">
        <f>SUM(30)</f>
        <v>30</v>
      </c>
      <c r="I71" s="4"/>
      <c r="J71" s="4"/>
      <c r="K71" s="4"/>
      <c r="L71" s="3">
        <v>33</v>
      </c>
      <c r="M71" s="4"/>
      <c r="N71" s="4"/>
      <c r="O71" s="4"/>
      <c r="P71" s="3"/>
      <c r="Q71" s="3"/>
      <c r="R71" s="4"/>
      <c r="S71" s="4"/>
      <c r="T71" s="4"/>
      <c r="U71" s="4"/>
      <c r="V71" s="4"/>
      <c r="W71" s="4"/>
      <c r="X71" s="4"/>
      <c r="Y71" s="4"/>
    </row>
    <row r="72" spans="1:25" ht="15.75" x14ac:dyDescent="0.25">
      <c r="A72" s="8" t="s">
        <v>114</v>
      </c>
      <c r="B72" s="9">
        <f>SUM(C72:W72)</f>
        <v>688.5</v>
      </c>
      <c r="C72" s="9"/>
      <c r="D72" s="9">
        <f>46+81+46+80+48+48+50+55</f>
        <v>454</v>
      </c>
      <c r="E72" s="10">
        <f>SUM(30+50+50+52+52.5)</f>
        <v>234.5</v>
      </c>
      <c r="X72" s="4"/>
      <c r="Y72" s="4"/>
    </row>
    <row r="73" spans="1:25" ht="15.75" x14ac:dyDescent="0.25">
      <c r="A73" s="8" t="s">
        <v>54</v>
      </c>
      <c r="B73" s="9">
        <f>SUM(C73:W73)</f>
        <v>688</v>
      </c>
      <c r="C73" s="9"/>
      <c r="D73" s="9">
        <v>0</v>
      </c>
      <c r="E73" s="10">
        <v>0</v>
      </c>
      <c r="F73" s="3">
        <v>0</v>
      </c>
      <c r="M73" s="3">
        <v>128</v>
      </c>
      <c r="N73" s="3">
        <v>265</v>
      </c>
      <c r="O73" s="3">
        <v>295</v>
      </c>
      <c r="P73" s="3"/>
      <c r="Q73" s="3"/>
      <c r="R73" s="4"/>
      <c r="S73" s="4"/>
      <c r="T73" s="4"/>
      <c r="U73" s="4"/>
      <c r="V73" s="4"/>
      <c r="W73" s="4"/>
      <c r="X73" s="4"/>
      <c r="Y73" s="4"/>
    </row>
    <row r="74" spans="1:25" ht="15.75" x14ac:dyDescent="0.25">
      <c r="A74" s="8" t="s">
        <v>143</v>
      </c>
      <c r="B74" s="9">
        <f>SUM(C74:W74)</f>
        <v>685.9</v>
      </c>
      <c r="C74" s="9">
        <f>86+84</f>
        <v>170</v>
      </c>
      <c r="D74" s="9">
        <f>81+80+80.4+55+50</f>
        <v>346.4</v>
      </c>
      <c r="E74" s="10">
        <f>SUM(34+50+85.5)</f>
        <v>169.5</v>
      </c>
      <c r="F74" s="3">
        <v>0</v>
      </c>
      <c r="X74" s="4"/>
      <c r="Y74" s="4"/>
    </row>
    <row r="75" spans="1:25" ht="15.75" x14ac:dyDescent="0.25">
      <c r="A75" s="8" t="s">
        <v>100</v>
      </c>
      <c r="B75" s="9">
        <f>SUM(C75:W75)</f>
        <v>682.6</v>
      </c>
      <c r="C75" s="9">
        <f>51+86+82+84</f>
        <v>303</v>
      </c>
      <c r="D75" s="9">
        <f>48+32</f>
        <v>80</v>
      </c>
      <c r="E75" s="10">
        <f>SUM(31.6+49+50+50)</f>
        <v>180.6</v>
      </c>
      <c r="F75" s="3">
        <f>SUM(46)</f>
        <v>46</v>
      </c>
      <c r="G75" s="3">
        <f>SUM(39+34)</f>
        <v>73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x14ac:dyDescent="0.25">
      <c r="A76" s="8" t="s">
        <v>59</v>
      </c>
      <c r="B76" s="9">
        <f>SUM(C76:W76)</f>
        <v>650</v>
      </c>
      <c r="C76" s="9"/>
      <c r="D76" s="9">
        <v>0</v>
      </c>
      <c r="E76" s="10">
        <v>0</v>
      </c>
      <c r="F76" s="3">
        <v>0</v>
      </c>
      <c r="H76" s="3">
        <f>SUM(39+38.5)</f>
        <v>77.5</v>
      </c>
      <c r="I76" s="3">
        <v>42</v>
      </c>
      <c r="K76" s="3">
        <v>137.5</v>
      </c>
      <c r="L76" s="3">
        <v>85</v>
      </c>
      <c r="M76" s="3">
        <v>111</v>
      </c>
      <c r="O76" s="3">
        <v>157</v>
      </c>
      <c r="P76" s="3">
        <v>40</v>
      </c>
      <c r="Q76" s="3"/>
      <c r="X76" s="4"/>
      <c r="Y76" s="4"/>
    </row>
    <row r="77" spans="1:25" ht="15.75" x14ac:dyDescent="0.25">
      <c r="A77" s="8" t="s">
        <v>314</v>
      </c>
      <c r="B77" s="9">
        <f>SUM(C77:W77)</f>
        <v>647</v>
      </c>
      <c r="C77" s="9">
        <f>85+86+120+120+32</f>
        <v>443</v>
      </c>
      <c r="D77" s="9">
        <f>31.6+50+42.4+80</f>
        <v>204</v>
      </c>
      <c r="E77" s="10"/>
      <c r="X77" s="4"/>
      <c r="Y77" s="4"/>
    </row>
    <row r="78" spans="1:25" ht="15.75" x14ac:dyDescent="0.25">
      <c r="A78" s="8" t="s">
        <v>60</v>
      </c>
      <c r="B78" s="9">
        <f>SUM(C78:W78)</f>
        <v>644.1</v>
      </c>
      <c r="C78" s="9"/>
      <c r="D78" s="9">
        <v>0</v>
      </c>
      <c r="E78" s="10">
        <f>SUM(120)</f>
        <v>120</v>
      </c>
      <c r="F78" s="3">
        <f>SUM(83+80+80)</f>
        <v>243</v>
      </c>
      <c r="G78" s="3">
        <f>SUM(53.6)</f>
        <v>53.6</v>
      </c>
      <c r="H78" s="3">
        <f>SUM(52)</f>
        <v>52</v>
      </c>
      <c r="I78" s="3">
        <v>93.5</v>
      </c>
      <c r="J78" s="3">
        <v>40</v>
      </c>
      <c r="K78" s="3">
        <v>42</v>
      </c>
      <c r="L78" s="4"/>
      <c r="M78" s="4"/>
      <c r="N78" s="4"/>
      <c r="O78" s="4"/>
      <c r="P78" s="3"/>
      <c r="Q78" s="3"/>
      <c r="R78" s="4"/>
      <c r="S78" s="4"/>
      <c r="T78" s="4"/>
      <c r="U78" s="4"/>
      <c r="V78" s="4"/>
      <c r="W78" s="4"/>
      <c r="X78" s="4"/>
      <c r="Y78" s="4"/>
    </row>
    <row r="79" spans="1:25" ht="15.75" x14ac:dyDescent="0.25">
      <c r="A79" s="8" t="s">
        <v>61</v>
      </c>
      <c r="B79" s="9">
        <f>SUM(C79:W79)</f>
        <v>640</v>
      </c>
      <c r="C79" s="9"/>
      <c r="D79" s="9">
        <v>0</v>
      </c>
      <c r="E79" s="10">
        <v>0</v>
      </c>
      <c r="F79" s="3">
        <f>SUM(42.4)</f>
        <v>42.4</v>
      </c>
      <c r="G79" s="3">
        <f>SUM(30.6+30.6+48.4)</f>
        <v>109.6</v>
      </c>
      <c r="J79" s="3">
        <v>59</v>
      </c>
      <c r="M79" s="3">
        <v>59</v>
      </c>
      <c r="N79" s="3">
        <v>285</v>
      </c>
      <c r="O79" s="3">
        <v>85</v>
      </c>
      <c r="P79" s="3"/>
      <c r="Q79" s="3"/>
      <c r="X79" s="4"/>
      <c r="Y79" s="4"/>
    </row>
    <row r="80" spans="1:25" ht="15.75" x14ac:dyDescent="0.25">
      <c r="A80" s="8" t="s">
        <v>315</v>
      </c>
      <c r="B80" s="9">
        <f>SUM(C80:W80)</f>
        <v>628</v>
      </c>
      <c r="C80" s="9">
        <f>56+86+80+120</f>
        <v>342</v>
      </c>
      <c r="D80" s="9">
        <f>31.6+50+42.4+80+82</f>
        <v>286</v>
      </c>
      <c r="E80" s="10"/>
      <c r="X80" s="4"/>
      <c r="Y80" s="4"/>
    </row>
    <row r="81" spans="1:25" ht="15.75" x14ac:dyDescent="0.25">
      <c r="A81" s="8" t="s">
        <v>65</v>
      </c>
      <c r="B81" s="9">
        <f>SUM(C81:W81)</f>
        <v>601.6</v>
      </c>
      <c r="C81" s="9"/>
      <c r="D81" s="9">
        <v>50</v>
      </c>
      <c r="E81" s="10">
        <f>SUM(90)</f>
        <v>90</v>
      </c>
      <c r="F81" s="3">
        <f>SUM(83+67+80)</f>
        <v>230</v>
      </c>
      <c r="G81" s="3">
        <f>SUM(31.6+67+52+81)</f>
        <v>231.6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.75" x14ac:dyDescent="0.25">
      <c r="A82" s="8" t="s">
        <v>98</v>
      </c>
      <c r="B82" s="9">
        <f>SUM(C82:W82)</f>
        <v>558.5</v>
      </c>
      <c r="C82" s="9">
        <f>56+86</f>
        <v>142</v>
      </c>
      <c r="D82" s="9">
        <f>80+31</f>
        <v>111</v>
      </c>
      <c r="E82" s="10">
        <f>SUM(49+81+85.5)</f>
        <v>215.5</v>
      </c>
      <c r="F82" s="3">
        <f>SUM(56)</f>
        <v>56</v>
      </c>
      <c r="G82" s="3">
        <f>SUM(34)</f>
        <v>34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.75" x14ac:dyDescent="0.25">
      <c r="A83" s="8" t="s">
        <v>67</v>
      </c>
      <c r="B83" s="9">
        <f>SUM(C83:W83)</f>
        <v>542.1</v>
      </c>
      <c r="C83" s="9"/>
      <c r="D83" s="9">
        <v>0</v>
      </c>
      <c r="E83" s="10">
        <f>SUM(49+53.6+40+30)</f>
        <v>172.6</v>
      </c>
      <c r="F83" s="3">
        <f>SUM(30+50+53+52+40.5+56)</f>
        <v>281.5</v>
      </c>
      <c r="G83" s="3">
        <f>SUM(51)</f>
        <v>51</v>
      </c>
      <c r="H83" s="3">
        <f>SUM(37)</f>
        <v>37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.75" x14ac:dyDescent="0.25">
      <c r="A84" s="8" t="s">
        <v>291</v>
      </c>
      <c r="B84" s="9">
        <f>SUM(C84:W84)</f>
        <v>531</v>
      </c>
      <c r="C84" s="9">
        <f>44+81+37.5+86+32+31</f>
        <v>311.5</v>
      </c>
      <c r="D84" s="9">
        <f>54+55+80</f>
        <v>189</v>
      </c>
      <c r="E84" s="10">
        <f>SUM(30.5)</f>
        <v>30.5</v>
      </c>
      <c r="X84" s="4"/>
      <c r="Y84" s="4"/>
    </row>
    <row r="85" spans="1:25" ht="15.75" x14ac:dyDescent="0.25">
      <c r="A85" s="8" t="s">
        <v>69</v>
      </c>
      <c r="B85" s="9">
        <f>SUM(C85:W85)</f>
        <v>525.35</v>
      </c>
      <c r="C85" s="9"/>
      <c r="D85" s="9">
        <v>0</v>
      </c>
      <c r="E85" s="10">
        <v>0</v>
      </c>
      <c r="F85" s="3">
        <v>0</v>
      </c>
      <c r="J85" s="3">
        <v>62.85</v>
      </c>
      <c r="K85" s="3">
        <v>378.5</v>
      </c>
      <c r="L85" s="3">
        <v>84</v>
      </c>
      <c r="P85" s="3"/>
      <c r="Q85" s="3"/>
      <c r="X85" s="4"/>
      <c r="Y85" s="4"/>
    </row>
    <row r="86" spans="1:25" ht="15.75" x14ac:dyDescent="0.25">
      <c r="A86" s="12" t="s">
        <v>70</v>
      </c>
      <c r="B86" s="9">
        <f>SUM(C86:W86)</f>
        <v>522</v>
      </c>
      <c r="C86" s="9"/>
      <c r="D86" s="9">
        <v>0</v>
      </c>
      <c r="E86" s="10">
        <v>0</v>
      </c>
      <c r="F86" s="3">
        <v>0</v>
      </c>
      <c r="L86" s="3">
        <v>301</v>
      </c>
      <c r="M86" s="3">
        <v>221</v>
      </c>
      <c r="P86" s="3"/>
      <c r="Q86" s="3"/>
      <c r="X86" s="4"/>
      <c r="Y86" s="4"/>
    </row>
    <row r="87" spans="1:25" ht="15.75" x14ac:dyDescent="0.25">
      <c r="A87" s="12" t="s">
        <v>71</v>
      </c>
      <c r="B87" s="9">
        <f>SUM(C87:W87)</f>
        <v>519</v>
      </c>
      <c r="C87" s="9"/>
      <c r="D87" s="9">
        <v>0</v>
      </c>
      <c r="E87" s="10">
        <v>0</v>
      </c>
      <c r="F87" s="3">
        <v>0</v>
      </c>
      <c r="M87" s="3">
        <v>135</v>
      </c>
      <c r="N87" s="3">
        <v>191</v>
      </c>
      <c r="O87" s="3">
        <v>193</v>
      </c>
      <c r="P87" s="3"/>
      <c r="Q87" s="3"/>
      <c r="X87" s="4"/>
      <c r="Y87" s="4"/>
    </row>
    <row r="88" spans="1:25" ht="15.75" x14ac:dyDescent="0.25">
      <c r="A88" s="12" t="s">
        <v>371</v>
      </c>
      <c r="B88" s="9">
        <f>SUM(C88:W88)</f>
        <v>513</v>
      </c>
      <c r="C88" s="9">
        <f>52+84</f>
        <v>136</v>
      </c>
      <c r="D88" s="9">
        <f>46+46+80+81</f>
        <v>253</v>
      </c>
      <c r="E88" s="10">
        <f>SUM(40+52)</f>
        <v>92</v>
      </c>
      <c r="F88" s="3">
        <f>SUM(32)</f>
        <v>32</v>
      </c>
      <c r="X88" s="4"/>
      <c r="Y88" s="4"/>
    </row>
    <row r="89" spans="1:25" ht="15.75" x14ac:dyDescent="0.25">
      <c r="A89" s="16" t="s">
        <v>79</v>
      </c>
      <c r="B89" s="9">
        <f>SUM(C89:W89)</f>
        <v>503.6</v>
      </c>
      <c r="C89" s="9">
        <f>52+50</f>
        <v>102</v>
      </c>
      <c r="D89" s="9">
        <v>0</v>
      </c>
      <c r="E89" s="10">
        <v>0</v>
      </c>
      <c r="F89" s="3">
        <f>SUM(54+52)</f>
        <v>106</v>
      </c>
      <c r="G89" s="3">
        <f>SUM(53.6+50+51+57)</f>
        <v>211.6</v>
      </c>
      <c r="H89" s="3">
        <f>SUM(39+45)</f>
        <v>84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.75" x14ac:dyDescent="0.25">
      <c r="A90" s="12" t="s">
        <v>149</v>
      </c>
      <c r="B90" s="9">
        <f>SUM(C90:W90)</f>
        <v>503.1</v>
      </c>
      <c r="C90" s="9">
        <f>56+82+80</f>
        <v>218</v>
      </c>
      <c r="D90" s="9">
        <f>31.6+55+50</f>
        <v>136.6</v>
      </c>
      <c r="E90" s="10">
        <f>SUM(30+52.5)</f>
        <v>82.5</v>
      </c>
      <c r="F90" s="3">
        <f>SUM(32)</f>
        <v>32</v>
      </c>
      <c r="G90" s="4"/>
      <c r="H90" s="3">
        <f>SUM(34)</f>
        <v>34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.75" x14ac:dyDescent="0.25">
      <c r="A91" s="12" t="s">
        <v>73</v>
      </c>
      <c r="B91" s="9">
        <f>SUM(C91:W91)</f>
        <v>475</v>
      </c>
      <c r="C91" s="9"/>
      <c r="D91" s="9">
        <v>0</v>
      </c>
      <c r="E91" s="10">
        <v>0</v>
      </c>
      <c r="F91" s="3">
        <v>0</v>
      </c>
      <c r="O91" s="3">
        <v>237</v>
      </c>
      <c r="P91" s="3">
        <v>238</v>
      </c>
      <c r="Q91" s="3"/>
      <c r="X91" s="4"/>
      <c r="Y91" s="4"/>
    </row>
    <row r="92" spans="1:25" ht="15.75" x14ac:dyDescent="0.25">
      <c r="A92" s="12" t="s">
        <v>115</v>
      </c>
      <c r="B92" s="9">
        <f>SUM(C92:W92)</f>
        <v>472</v>
      </c>
      <c r="C92" s="9">
        <f>33+52+51+52+50</f>
        <v>238</v>
      </c>
      <c r="D92" s="9">
        <v>0</v>
      </c>
      <c r="E92" s="10">
        <v>0</v>
      </c>
      <c r="F92" s="3">
        <f>SUM(54)</f>
        <v>54</v>
      </c>
      <c r="G92" s="4"/>
      <c r="H92" s="3">
        <f>SUM(52)</f>
        <v>52</v>
      </c>
      <c r="I92" s="3">
        <v>42</v>
      </c>
      <c r="J92" s="4"/>
      <c r="K92" s="4"/>
      <c r="L92" s="4"/>
      <c r="M92" s="4"/>
      <c r="N92" s="4"/>
      <c r="O92" s="4"/>
      <c r="P92" s="3">
        <v>51</v>
      </c>
      <c r="Q92" s="3">
        <v>35</v>
      </c>
      <c r="R92" s="4"/>
      <c r="S92" s="4"/>
      <c r="T92" s="4"/>
      <c r="U92" s="4"/>
      <c r="V92" s="4"/>
      <c r="W92" s="4"/>
      <c r="X92" s="4"/>
      <c r="Y92" s="4"/>
    </row>
    <row r="93" spans="1:25" ht="15.75" x14ac:dyDescent="0.25">
      <c r="A93" s="12" t="s">
        <v>165</v>
      </c>
      <c r="B93" s="9">
        <f>SUM(C93:W93)</f>
        <v>466</v>
      </c>
      <c r="C93" s="9">
        <f>54+50</f>
        <v>104</v>
      </c>
      <c r="D93" s="9">
        <f>50+50+52+80</f>
        <v>232</v>
      </c>
      <c r="E93" s="10">
        <f>SUM(30+50+50)</f>
        <v>130</v>
      </c>
      <c r="X93" s="4"/>
      <c r="Y93" s="4"/>
    </row>
    <row r="94" spans="1:25" ht="15.75" x14ac:dyDescent="0.25">
      <c r="A94" s="12" t="s">
        <v>84</v>
      </c>
      <c r="B94" s="9">
        <f>SUM(C94:W94)</f>
        <v>457.5</v>
      </c>
      <c r="C94" s="9">
        <v>44</v>
      </c>
      <c r="D94" s="9">
        <v>50</v>
      </c>
      <c r="E94" s="10">
        <f>SUM(30.5)</f>
        <v>30.5</v>
      </c>
      <c r="F94" s="3">
        <v>0</v>
      </c>
      <c r="M94" s="3">
        <v>59</v>
      </c>
      <c r="N94" s="3">
        <v>121</v>
      </c>
      <c r="O94" s="3">
        <v>40</v>
      </c>
      <c r="P94" s="3">
        <v>113</v>
      </c>
      <c r="Q94" s="3"/>
      <c r="X94" s="4"/>
      <c r="Y94" s="4"/>
    </row>
    <row r="95" spans="1:25" ht="15.75" x14ac:dyDescent="0.25">
      <c r="A95" s="12" t="s">
        <v>74</v>
      </c>
      <c r="B95" s="9">
        <f>SUM(C95:W95)</f>
        <v>457</v>
      </c>
      <c r="C95" s="9"/>
      <c r="D95" s="9">
        <v>0</v>
      </c>
      <c r="E95" s="10">
        <v>0</v>
      </c>
      <c r="F95" s="3">
        <v>0</v>
      </c>
      <c r="O95" s="3">
        <v>212</v>
      </c>
      <c r="P95" s="3">
        <v>245</v>
      </c>
      <c r="Q95" s="3"/>
      <c r="X95" s="4"/>
      <c r="Y95" s="4"/>
    </row>
    <row r="96" spans="1:25" ht="15.75" x14ac:dyDescent="0.25">
      <c r="A96" s="12" t="s">
        <v>75</v>
      </c>
      <c r="B96" s="9">
        <f>SUM(C96:W96)</f>
        <v>455</v>
      </c>
      <c r="C96" s="9"/>
      <c r="D96" s="9">
        <v>0</v>
      </c>
      <c r="E96" s="10">
        <v>0</v>
      </c>
      <c r="F96" s="3">
        <v>0</v>
      </c>
      <c r="M96" s="3">
        <v>80</v>
      </c>
      <c r="N96" s="3">
        <v>53</v>
      </c>
      <c r="O96" s="3">
        <v>30</v>
      </c>
      <c r="P96" s="3"/>
      <c r="Q96" s="3">
        <v>211</v>
      </c>
      <c r="R96" s="3">
        <v>51</v>
      </c>
      <c r="S96" s="3">
        <v>30</v>
      </c>
      <c r="X96" s="4"/>
      <c r="Y96" s="4"/>
    </row>
    <row r="97" spans="1:25" ht="15.75" x14ac:dyDescent="0.25">
      <c r="A97" s="12" t="s">
        <v>89</v>
      </c>
      <c r="B97" s="9">
        <f>SUM(C97:W97)</f>
        <v>451.1</v>
      </c>
      <c r="C97" s="9"/>
      <c r="D97" s="9">
        <f>55+50</f>
        <v>105</v>
      </c>
      <c r="E97" s="10">
        <f>SUM(55+80+87.6+52)</f>
        <v>274.60000000000002</v>
      </c>
      <c r="F97" s="3">
        <f>SUM(31+40.5)</f>
        <v>71.5</v>
      </c>
      <c r="X97" s="4"/>
      <c r="Y97" s="4"/>
    </row>
    <row r="98" spans="1:25" ht="15.75" x14ac:dyDescent="0.25">
      <c r="A98" s="12" t="s">
        <v>76</v>
      </c>
      <c r="B98" s="9">
        <f>SUM(C98:W98)</f>
        <v>441</v>
      </c>
      <c r="C98" s="9"/>
      <c r="D98" s="9">
        <v>0</v>
      </c>
      <c r="E98" s="10">
        <v>0</v>
      </c>
      <c r="F98" s="3">
        <v>0</v>
      </c>
      <c r="L98" s="3">
        <v>120</v>
      </c>
      <c r="M98" s="3">
        <v>321</v>
      </c>
      <c r="P98" s="3"/>
      <c r="Q98" s="3"/>
      <c r="X98" s="4"/>
      <c r="Y98" s="4"/>
    </row>
    <row r="99" spans="1:25" ht="15.75" x14ac:dyDescent="0.25">
      <c r="A99" s="12" t="s">
        <v>88</v>
      </c>
      <c r="B99" s="9">
        <f>SUM(C99:W99)</f>
        <v>435.7</v>
      </c>
      <c r="C99" s="9"/>
      <c r="D99" s="9">
        <f>53.6+35</f>
        <v>88.6</v>
      </c>
      <c r="E99" s="10">
        <f>SUM(49+53.6+50+52.5)</f>
        <v>205.1</v>
      </c>
      <c r="F99" s="3">
        <f>SUM(34+52+56)</f>
        <v>142</v>
      </c>
      <c r="X99" s="4"/>
      <c r="Y99" s="4"/>
    </row>
    <row r="100" spans="1:25" ht="15.75" x14ac:dyDescent="0.25">
      <c r="A100" s="12" t="s">
        <v>116</v>
      </c>
      <c r="B100" s="9">
        <f>SUM(C100:W100)</f>
        <v>430</v>
      </c>
      <c r="C100" s="9"/>
      <c r="D100" s="9">
        <f>46+46+50+55</f>
        <v>197</v>
      </c>
      <c r="E100" s="10">
        <f>SUM(54+40)</f>
        <v>94</v>
      </c>
      <c r="F100" s="3">
        <f>SUM(35+54+50)</f>
        <v>139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x14ac:dyDescent="0.25">
      <c r="A101" s="12" t="s">
        <v>329</v>
      </c>
      <c r="B101" s="9">
        <f>SUM(C101:W101)</f>
        <v>423</v>
      </c>
      <c r="C101" s="9">
        <f>81+50+80</f>
        <v>211</v>
      </c>
      <c r="D101" s="17">
        <f>32+48+50+82</f>
        <v>212</v>
      </c>
      <c r="E101" s="15"/>
      <c r="X101" s="4"/>
      <c r="Y101" s="4"/>
    </row>
    <row r="102" spans="1:25" ht="15.75" x14ac:dyDescent="0.25">
      <c r="A102" s="12" t="s">
        <v>77</v>
      </c>
      <c r="B102" s="9">
        <f>SUM(C102:W102)</f>
        <v>414</v>
      </c>
      <c r="C102" s="9"/>
      <c r="D102" s="9">
        <v>0</v>
      </c>
      <c r="E102" s="10">
        <f>SUM(55+80+30)</f>
        <v>165</v>
      </c>
      <c r="F102" s="1">
        <f>SUM(53)</f>
        <v>53</v>
      </c>
      <c r="G102" s="1">
        <f>SUM(57+51+54)</f>
        <v>162</v>
      </c>
      <c r="H102" s="1">
        <f>SUM(34)</f>
        <v>34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X102" s="4"/>
      <c r="Y102" s="4"/>
    </row>
    <row r="103" spans="1:25" ht="15.75" x14ac:dyDescent="0.25">
      <c r="A103" s="12" t="s">
        <v>77</v>
      </c>
      <c r="B103" s="9">
        <f>SUM(C103:W103)</f>
        <v>413.6</v>
      </c>
      <c r="C103" s="9"/>
      <c r="D103" s="9">
        <v>0</v>
      </c>
      <c r="E103" s="10">
        <f>SUM(55+30+80)</f>
        <v>165</v>
      </c>
      <c r="F103" s="3">
        <f>SUM(53)</f>
        <v>53</v>
      </c>
      <c r="G103" s="3">
        <f>SUM(53.6+51+57)</f>
        <v>161.6</v>
      </c>
      <c r="H103" s="3">
        <f>SUM(34)</f>
        <v>34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x14ac:dyDescent="0.25">
      <c r="A104" s="12" t="s">
        <v>144</v>
      </c>
      <c r="B104" s="9">
        <f>SUM(C104:W104)</f>
        <v>410.6</v>
      </c>
      <c r="C104" s="9">
        <f>56+50</f>
        <v>106</v>
      </c>
      <c r="D104" s="9">
        <f>36+50+52</f>
        <v>138</v>
      </c>
      <c r="E104" s="10">
        <f>SUM(31.6+35+60+40)</f>
        <v>166.6</v>
      </c>
      <c r="F104" s="3">
        <v>0</v>
      </c>
      <c r="X104" s="4"/>
      <c r="Y104" s="4"/>
    </row>
    <row r="105" spans="1:25" ht="15.75" x14ac:dyDescent="0.25">
      <c r="A105" s="12" t="s">
        <v>148</v>
      </c>
      <c r="B105" s="9">
        <f>SUM(C105:W105)</f>
        <v>409.9</v>
      </c>
      <c r="C105" s="9">
        <f>86+80</f>
        <v>166</v>
      </c>
      <c r="D105" s="9">
        <f>50+42.4</f>
        <v>92.4</v>
      </c>
      <c r="E105" s="10">
        <f>SUM(52.5)</f>
        <v>52.5</v>
      </c>
      <c r="F105" s="3">
        <f>SUM(32+67)</f>
        <v>99</v>
      </c>
      <c r="X105" s="4"/>
      <c r="Y105" s="4"/>
    </row>
    <row r="106" spans="1:25" ht="15.75" x14ac:dyDescent="0.25">
      <c r="A106" s="12" t="s">
        <v>80</v>
      </c>
      <c r="B106" s="9">
        <f>SUM(C106:W106)</f>
        <v>400.5</v>
      </c>
      <c r="C106" s="9"/>
      <c r="D106" s="9">
        <v>0</v>
      </c>
      <c r="E106" s="10">
        <f>SUM(30)</f>
        <v>30</v>
      </c>
      <c r="F106" s="3">
        <v>0</v>
      </c>
      <c r="G106" s="3">
        <f>SUM(34+57)</f>
        <v>91</v>
      </c>
      <c r="H106" s="3">
        <f>SUM(80+34)</f>
        <v>114</v>
      </c>
      <c r="I106" s="3">
        <v>165.5</v>
      </c>
      <c r="P106" s="3"/>
      <c r="Q106" s="3"/>
      <c r="X106" s="4"/>
      <c r="Y106" s="4"/>
    </row>
    <row r="107" spans="1:25" ht="15.75" x14ac:dyDescent="0.25">
      <c r="A107" s="12" t="s">
        <v>81</v>
      </c>
      <c r="B107" s="9">
        <f>SUM(C107:W107)</f>
        <v>397</v>
      </c>
      <c r="C107" s="9"/>
      <c r="D107" s="9">
        <v>0</v>
      </c>
      <c r="E107" s="10">
        <v>0</v>
      </c>
      <c r="F107" s="3">
        <f>SUM(52)</f>
        <v>52</v>
      </c>
      <c r="G107" s="3">
        <f>SUM(34+52)</f>
        <v>86</v>
      </c>
      <c r="H107" s="3"/>
      <c r="I107" s="3"/>
      <c r="J107" s="3"/>
      <c r="K107" s="3"/>
      <c r="L107" s="3"/>
      <c r="M107" s="3"/>
      <c r="N107" s="3">
        <v>176</v>
      </c>
      <c r="O107" s="3">
        <v>83</v>
      </c>
      <c r="P107" s="3"/>
      <c r="Q107" s="3"/>
      <c r="R107" s="3"/>
      <c r="S107" s="3"/>
      <c r="T107" s="3"/>
      <c r="U107" s="3"/>
      <c r="V107" s="3"/>
      <c r="W107" s="3"/>
      <c r="X107" s="4"/>
      <c r="Y107" s="4"/>
    </row>
    <row r="108" spans="1:25" ht="15.75" x14ac:dyDescent="0.25">
      <c r="A108" s="12" t="s">
        <v>85</v>
      </c>
      <c r="B108" s="9">
        <f>SUM(C108:W108)</f>
        <v>396</v>
      </c>
      <c r="C108" s="9"/>
      <c r="D108" s="9">
        <v>35</v>
      </c>
      <c r="E108" s="10">
        <v>0</v>
      </c>
      <c r="F108" s="3">
        <v>0</v>
      </c>
      <c r="H108" s="3">
        <f>SUM(53+39+62)</f>
        <v>154</v>
      </c>
      <c r="I108" s="3">
        <v>42</v>
      </c>
      <c r="O108" s="3">
        <v>165</v>
      </c>
      <c r="P108" s="3"/>
      <c r="Q108" s="3"/>
      <c r="X108" s="4"/>
      <c r="Y108" s="4"/>
    </row>
    <row r="109" spans="1:25" ht="15.75" x14ac:dyDescent="0.25">
      <c r="A109" s="12" t="s">
        <v>317</v>
      </c>
      <c r="B109" s="9">
        <f>SUM(C109:W109)</f>
        <v>386</v>
      </c>
      <c r="C109" s="9">
        <f>82+86+86</f>
        <v>254</v>
      </c>
      <c r="D109" s="9">
        <f>36+48+48</f>
        <v>132</v>
      </c>
      <c r="E109" s="10"/>
      <c r="X109" s="4"/>
      <c r="Y109" s="4"/>
    </row>
    <row r="110" spans="1:25" ht="15.75" x14ac:dyDescent="0.25">
      <c r="A110" s="12" t="s">
        <v>82</v>
      </c>
      <c r="B110" s="9">
        <f>SUM(C110:W110)</f>
        <v>385.2</v>
      </c>
      <c r="C110" s="9"/>
      <c r="D110" s="9">
        <v>0</v>
      </c>
      <c r="E110" s="10">
        <v>0</v>
      </c>
      <c r="F110" s="3">
        <v>0</v>
      </c>
      <c r="H110" s="3">
        <f>SUM(39)</f>
        <v>39</v>
      </c>
      <c r="J110" s="3">
        <v>166.2</v>
      </c>
      <c r="K110" s="3">
        <v>180</v>
      </c>
      <c r="P110" s="3"/>
      <c r="Q110" s="3"/>
      <c r="X110" s="4"/>
      <c r="Y110" s="4"/>
    </row>
    <row r="111" spans="1:25" ht="15.75" x14ac:dyDescent="0.25">
      <c r="A111" s="12" t="s">
        <v>83</v>
      </c>
      <c r="B111" s="9">
        <f>SUM(C111:W111)</f>
        <v>374.85</v>
      </c>
      <c r="C111" s="9"/>
      <c r="D111" s="9">
        <v>0</v>
      </c>
      <c r="E111" s="10">
        <v>0</v>
      </c>
      <c r="F111" s="3">
        <v>0</v>
      </c>
      <c r="I111" s="3">
        <v>105</v>
      </c>
      <c r="J111" s="3">
        <v>160.85</v>
      </c>
      <c r="L111" s="3">
        <v>40</v>
      </c>
      <c r="M111" s="3">
        <v>69</v>
      </c>
      <c r="P111" s="3"/>
      <c r="Q111" s="3"/>
      <c r="X111" s="4"/>
      <c r="Y111" s="4"/>
    </row>
    <row r="112" spans="1:25" ht="15.75" x14ac:dyDescent="0.25">
      <c r="A112" s="12" t="s">
        <v>86</v>
      </c>
      <c r="B112" s="9">
        <f>SUM(C112:W112)</f>
        <v>361</v>
      </c>
      <c r="C112" s="9"/>
      <c r="D112" s="9">
        <v>0</v>
      </c>
      <c r="E112" s="10">
        <v>0</v>
      </c>
      <c r="F112" s="3">
        <v>0</v>
      </c>
      <c r="L112" s="3">
        <v>180</v>
      </c>
      <c r="M112" s="3">
        <v>181</v>
      </c>
      <c r="P112" s="3"/>
      <c r="Q112" s="3"/>
      <c r="X112" s="4"/>
      <c r="Y112" s="4"/>
    </row>
    <row r="113" spans="1:25" ht="15.75" x14ac:dyDescent="0.25">
      <c r="A113" s="12" t="s">
        <v>87</v>
      </c>
      <c r="B113" s="9">
        <f>SUM(C113:W113)</f>
        <v>356</v>
      </c>
      <c r="C113" s="9"/>
      <c r="D113" s="9">
        <v>0</v>
      </c>
      <c r="E113" s="10">
        <f>SUM(55+80+81)</f>
        <v>216</v>
      </c>
      <c r="F113" s="3">
        <f>SUM(53+56)</f>
        <v>109</v>
      </c>
      <c r="G113" s="3">
        <f>SUM(31)</f>
        <v>31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x14ac:dyDescent="0.25">
      <c r="A114" s="12" t="s">
        <v>90</v>
      </c>
      <c r="B114" s="9">
        <f>SUM(C114:W114)</f>
        <v>342.5</v>
      </c>
      <c r="C114" s="9"/>
      <c r="D114" s="9">
        <v>0</v>
      </c>
      <c r="E114" s="10">
        <f>SUM(40+50)</f>
        <v>90</v>
      </c>
      <c r="F114" s="3">
        <f>SUM(30+34+55.5)</f>
        <v>119.5</v>
      </c>
      <c r="G114" s="3">
        <f>SUM(30+52+51)</f>
        <v>133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x14ac:dyDescent="0.25">
      <c r="A115" s="12" t="s">
        <v>91</v>
      </c>
      <c r="B115" s="9">
        <f>SUM(C115:W115)</f>
        <v>339</v>
      </c>
      <c r="C115" s="9"/>
      <c r="D115" s="9">
        <v>0</v>
      </c>
      <c r="E115" s="10">
        <v>0</v>
      </c>
      <c r="F115" s="3">
        <f>SUM(50+34)</f>
        <v>84</v>
      </c>
      <c r="G115" s="3">
        <f>SUM(31+36)</f>
        <v>67</v>
      </c>
      <c r="H115" s="3">
        <f>SUM(30+53+34+37+34)</f>
        <v>188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x14ac:dyDescent="0.25">
      <c r="A116" s="12" t="s">
        <v>92</v>
      </c>
      <c r="B116" s="9">
        <f>SUM(C116:W116)</f>
        <v>338.6</v>
      </c>
      <c r="C116" s="9"/>
      <c r="D116" s="9">
        <v>0</v>
      </c>
      <c r="E116" s="10">
        <f>SUM(30)</f>
        <v>30</v>
      </c>
      <c r="F116" s="3">
        <f>SUM(32.8+32.8)</f>
        <v>65.599999999999994</v>
      </c>
      <c r="G116" s="4"/>
      <c r="H116" s="4"/>
      <c r="I116" s="4"/>
      <c r="J116" s="4"/>
      <c r="K116" s="4"/>
      <c r="L116" s="4"/>
      <c r="M116" s="4"/>
      <c r="N116" s="3">
        <v>33</v>
      </c>
      <c r="O116" s="3">
        <v>176</v>
      </c>
      <c r="P116" s="3">
        <v>34</v>
      </c>
      <c r="Q116" s="3"/>
      <c r="R116" s="4"/>
      <c r="S116" s="4"/>
      <c r="T116" s="4"/>
      <c r="U116" s="4"/>
      <c r="V116" s="4"/>
      <c r="W116" s="4"/>
      <c r="X116" s="4"/>
      <c r="Y116" s="4"/>
    </row>
    <row r="117" spans="1:25" ht="15.75" x14ac:dyDescent="0.25">
      <c r="A117" s="12" t="s">
        <v>94</v>
      </c>
      <c r="B117" s="9">
        <f>SUM(C117:W117)</f>
        <v>321</v>
      </c>
      <c r="C117" s="9"/>
      <c r="D117" s="9">
        <v>0</v>
      </c>
      <c r="E117" s="10">
        <v>0</v>
      </c>
      <c r="F117" s="3">
        <v>0</v>
      </c>
      <c r="G117" s="4"/>
      <c r="H117" s="3">
        <f>SUM(34)</f>
        <v>34</v>
      </c>
      <c r="I117" s="3">
        <v>45</v>
      </c>
      <c r="J117" s="3">
        <v>42</v>
      </c>
      <c r="K117" s="3">
        <v>42</v>
      </c>
      <c r="L117" s="3">
        <v>121</v>
      </c>
      <c r="M117" s="3">
        <v>37</v>
      </c>
      <c r="N117" s="4"/>
      <c r="O117" s="4"/>
      <c r="P117" s="3"/>
      <c r="Q117" s="3"/>
      <c r="R117" s="4"/>
      <c r="S117" s="4"/>
      <c r="T117" s="4"/>
      <c r="U117" s="4"/>
      <c r="V117" s="4"/>
      <c r="W117" s="4"/>
      <c r="X117" s="4"/>
      <c r="Y117" s="4"/>
    </row>
    <row r="118" spans="1:25" ht="15.75" x14ac:dyDescent="0.25">
      <c r="A118" s="12" t="s">
        <v>122</v>
      </c>
      <c r="B118" s="9">
        <f>SUM(C118:W118)</f>
        <v>319.60000000000002</v>
      </c>
      <c r="C118" s="9">
        <v>30</v>
      </c>
      <c r="D118" s="9">
        <f>30+48</f>
        <v>78</v>
      </c>
      <c r="E118" s="10">
        <v>0</v>
      </c>
      <c r="F118" s="3">
        <f>SUM(50+80)</f>
        <v>130</v>
      </c>
      <c r="G118" s="3">
        <f>SUM(31.6+50)</f>
        <v>81.599999999999994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x14ac:dyDescent="0.25">
      <c r="A119" s="12" t="s">
        <v>95</v>
      </c>
      <c r="B119" s="9">
        <f>SUM(C119:W119)</f>
        <v>318.5</v>
      </c>
      <c r="C119" s="9"/>
      <c r="D119" s="9">
        <v>0</v>
      </c>
      <c r="E119" s="10">
        <v>0</v>
      </c>
      <c r="F119" s="3">
        <f>SUM(50+84+40.5)</f>
        <v>174.5</v>
      </c>
      <c r="G119" s="3">
        <f>SUM(53+57)</f>
        <v>110</v>
      </c>
      <c r="H119" s="3">
        <f>SUM(34)</f>
        <v>34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x14ac:dyDescent="0.25">
      <c r="A120" s="12" t="s">
        <v>96</v>
      </c>
      <c r="B120" s="9">
        <f>SUM(C120:W120)</f>
        <v>314.60000000000002</v>
      </c>
      <c r="C120" s="9"/>
      <c r="D120" s="9">
        <v>0</v>
      </c>
      <c r="E120" s="10">
        <v>0</v>
      </c>
      <c r="F120" s="3">
        <f>SUM(67)</f>
        <v>67</v>
      </c>
      <c r="G120" s="3">
        <f>SUM(53.6+67+51)</f>
        <v>171.6</v>
      </c>
      <c r="H120" s="3">
        <f>SUM(39+37)</f>
        <v>76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x14ac:dyDescent="0.25">
      <c r="A121" s="12" t="s">
        <v>97</v>
      </c>
      <c r="B121" s="9">
        <f>SUM(C121:W121)</f>
        <v>314.10000000000002</v>
      </c>
      <c r="C121" s="9"/>
      <c r="D121" s="9">
        <v>0</v>
      </c>
      <c r="E121" s="10">
        <v>0</v>
      </c>
      <c r="F121" s="3">
        <f>SUM(50)</f>
        <v>50</v>
      </c>
      <c r="G121" s="3">
        <f>SUM(31.6+52+57)</f>
        <v>140.6</v>
      </c>
      <c r="H121" s="3">
        <f>SUM(34)</f>
        <v>34</v>
      </c>
      <c r="I121" s="3">
        <v>42.5</v>
      </c>
      <c r="J121" s="4"/>
      <c r="K121" s="3">
        <v>47</v>
      </c>
      <c r="L121" s="4"/>
      <c r="M121" s="4"/>
      <c r="N121" s="4"/>
      <c r="O121" s="4"/>
      <c r="P121" s="3"/>
      <c r="Q121" s="3"/>
      <c r="R121" s="4"/>
      <c r="S121" s="4"/>
      <c r="T121" s="4"/>
      <c r="U121" s="4"/>
      <c r="V121" s="4"/>
      <c r="W121" s="4"/>
      <c r="X121" s="4"/>
      <c r="Y121" s="4"/>
    </row>
    <row r="122" spans="1:25" ht="15.75" x14ac:dyDescent="0.25">
      <c r="A122" s="12" t="s">
        <v>108</v>
      </c>
      <c r="B122" s="9">
        <f>SUM(C122:W122)</f>
        <v>308.79999999999995</v>
      </c>
      <c r="C122" s="9"/>
      <c r="D122" s="9">
        <v>42.4</v>
      </c>
      <c r="E122" s="10">
        <v>0</v>
      </c>
      <c r="F122" s="3">
        <f>SUM(33.6+42.4+32.8+42.4+32.8+82.4)</f>
        <v>266.39999999999998</v>
      </c>
      <c r="X122" s="4"/>
      <c r="Y122" s="4"/>
    </row>
    <row r="123" spans="1:25" ht="15.75" x14ac:dyDescent="0.25">
      <c r="A123" s="20" t="s">
        <v>350</v>
      </c>
      <c r="B123" s="9">
        <f>SUM(C123:W123)</f>
        <v>308</v>
      </c>
      <c r="C123" s="19">
        <f>33+52+51+86+86</f>
        <v>308</v>
      </c>
      <c r="X123" s="4"/>
      <c r="Y123" s="4"/>
    </row>
    <row r="124" spans="1:25" ht="15.75" x14ac:dyDescent="0.25">
      <c r="A124" s="12" t="s">
        <v>137</v>
      </c>
      <c r="B124" s="9">
        <f>SUM(C124:W124)</f>
        <v>306.5</v>
      </c>
      <c r="C124" s="9">
        <v>50</v>
      </c>
      <c r="D124" s="9">
        <f>46+32</f>
        <v>78</v>
      </c>
      <c r="E124" s="10">
        <f>SUM(30.5)</f>
        <v>30.5</v>
      </c>
      <c r="F124" s="3">
        <v>0</v>
      </c>
      <c r="G124" s="3">
        <f>SUM(36)</f>
        <v>36</v>
      </c>
      <c r="H124" s="4"/>
      <c r="I124" s="4"/>
      <c r="J124" s="4"/>
      <c r="K124" s="3">
        <v>112</v>
      </c>
      <c r="L124" s="4"/>
      <c r="M124" s="4"/>
      <c r="N124" s="4"/>
      <c r="O124" s="4"/>
      <c r="P124" s="3"/>
      <c r="Q124" s="3"/>
      <c r="R124" s="4"/>
      <c r="S124" s="4"/>
      <c r="T124" s="4"/>
      <c r="U124" s="4"/>
      <c r="V124" s="4"/>
      <c r="W124" s="4"/>
      <c r="X124" s="4"/>
      <c r="Y124" s="4"/>
    </row>
    <row r="125" spans="1:25" ht="15.75" x14ac:dyDescent="0.25">
      <c r="A125" s="12" t="s">
        <v>112</v>
      </c>
      <c r="B125" s="9">
        <f>SUM(C125:W125)</f>
        <v>304.60000000000002</v>
      </c>
      <c r="C125" s="9"/>
      <c r="D125" s="9">
        <f>34+31</f>
        <v>65</v>
      </c>
      <c r="E125" s="10">
        <v>0</v>
      </c>
      <c r="F125" s="3">
        <f>SUM(53+32)</f>
        <v>85</v>
      </c>
      <c r="G125" s="3">
        <f>SUM(53.6+67)</f>
        <v>120.6</v>
      </c>
      <c r="H125" s="3">
        <f>SUM(34)</f>
        <v>34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x14ac:dyDescent="0.25">
      <c r="A126" s="12" t="s">
        <v>99</v>
      </c>
      <c r="B126" s="9">
        <f>SUM(C126:W126)</f>
        <v>301.5</v>
      </c>
      <c r="C126" s="9"/>
      <c r="D126" s="9">
        <v>0</v>
      </c>
      <c r="E126" s="10">
        <f>SUM(52.5)</f>
        <v>52.5</v>
      </c>
      <c r="F126" s="3">
        <f>SUM(53+50)</f>
        <v>103</v>
      </c>
      <c r="G126" s="3">
        <f>SUM(34+42+34+36)</f>
        <v>146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x14ac:dyDescent="0.25">
      <c r="A127" s="12" t="s">
        <v>107</v>
      </c>
      <c r="B127" s="9">
        <f>SUM(C127:W127)</f>
        <v>301</v>
      </c>
      <c r="C127" s="9"/>
      <c r="D127" s="9">
        <v>31</v>
      </c>
      <c r="E127" s="10">
        <v>0</v>
      </c>
      <c r="F127" s="3">
        <v>0</v>
      </c>
      <c r="G127" s="4"/>
      <c r="H127" s="4"/>
      <c r="I127" s="4"/>
      <c r="J127" s="4"/>
      <c r="K127" s="4"/>
      <c r="L127" s="4"/>
      <c r="M127" s="4"/>
      <c r="N127" s="4"/>
      <c r="O127" s="3">
        <v>270</v>
      </c>
      <c r="P127" s="3"/>
      <c r="Q127" s="3"/>
      <c r="R127" s="4"/>
      <c r="S127" s="4"/>
      <c r="T127" s="4"/>
      <c r="U127" s="4"/>
      <c r="V127" s="4"/>
      <c r="W127" s="4"/>
      <c r="X127" s="4"/>
      <c r="Y127" s="4"/>
    </row>
    <row r="128" spans="1:25" ht="15.75" x14ac:dyDescent="0.25">
      <c r="A128" s="12" t="s">
        <v>101</v>
      </c>
      <c r="B128" s="9">
        <f>SUM(C128:W128)</f>
        <v>297.5</v>
      </c>
      <c r="C128" s="9"/>
      <c r="D128" s="9">
        <v>0</v>
      </c>
      <c r="E128" s="10">
        <v>0</v>
      </c>
      <c r="F128" s="3">
        <f>SUM(54)</f>
        <v>54</v>
      </c>
      <c r="G128" s="3">
        <f>SUM(31.6+34+45.9+51+81)</f>
        <v>243.5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x14ac:dyDescent="0.25">
      <c r="A129" s="12" t="s">
        <v>103</v>
      </c>
      <c r="B129" s="9">
        <f>SUM(C129:W129)</f>
        <v>293.60000000000002</v>
      </c>
      <c r="C129" s="9"/>
      <c r="D129" s="9">
        <v>0</v>
      </c>
      <c r="E129" s="10">
        <v>0</v>
      </c>
      <c r="F129" s="3">
        <f>SUM(33.6+50+50+80+80)</f>
        <v>293.60000000000002</v>
      </c>
      <c r="X129" s="4"/>
      <c r="Y129" s="4"/>
    </row>
    <row r="130" spans="1:25" ht="15.75" x14ac:dyDescent="0.25">
      <c r="A130" s="12" t="s">
        <v>150</v>
      </c>
      <c r="B130" s="9">
        <f>SUM(C130:W130)</f>
        <v>291.60000000000002</v>
      </c>
      <c r="C130" s="9">
        <f>32+56+56</f>
        <v>144</v>
      </c>
      <c r="D130" s="9">
        <v>0</v>
      </c>
      <c r="E130" s="10">
        <v>0</v>
      </c>
      <c r="F130" s="3">
        <f>SUM(54)</f>
        <v>54</v>
      </c>
      <c r="G130" s="3">
        <f>SUM(30+31.6)</f>
        <v>61.6</v>
      </c>
      <c r="H130" s="3">
        <f>SUM(32)</f>
        <v>32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x14ac:dyDescent="0.25">
      <c r="A131" s="12" t="s">
        <v>104</v>
      </c>
      <c r="B131" s="9">
        <f>SUM(C131:W131)</f>
        <v>289</v>
      </c>
      <c r="C131" s="9"/>
      <c r="D131" s="9">
        <v>0</v>
      </c>
      <c r="E131" s="10">
        <v>0</v>
      </c>
      <c r="F131" s="3">
        <v>0</v>
      </c>
      <c r="G131" s="4"/>
      <c r="H131" s="4"/>
      <c r="I131" s="4"/>
      <c r="J131" s="3">
        <v>89</v>
      </c>
      <c r="K131" s="4"/>
      <c r="L131" s="4"/>
      <c r="M131" s="3">
        <v>39</v>
      </c>
      <c r="N131" s="3">
        <v>131</v>
      </c>
      <c r="O131" s="3">
        <v>30</v>
      </c>
      <c r="P131" s="3"/>
      <c r="Q131" s="3"/>
      <c r="R131" s="4"/>
      <c r="S131" s="4"/>
      <c r="T131" s="4"/>
      <c r="U131" s="4"/>
      <c r="V131" s="4"/>
      <c r="W131" s="4"/>
      <c r="X131" s="4"/>
      <c r="Y131" s="4"/>
    </row>
    <row r="132" spans="1:25" ht="15.75" x14ac:dyDescent="0.25">
      <c r="A132" s="12" t="s">
        <v>105</v>
      </c>
      <c r="B132" s="9">
        <f>SUM(C132:W132)</f>
        <v>288.10000000000002</v>
      </c>
      <c r="C132" s="9"/>
      <c r="D132" s="9">
        <v>0</v>
      </c>
      <c r="E132" s="10">
        <f>SUM(53.6+80)</f>
        <v>133.6</v>
      </c>
      <c r="F132" s="3">
        <f>SUM(34+40.5+80)</f>
        <v>154.5</v>
      </c>
      <c r="X132" s="4"/>
      <c r="Y132" s="4"/>
    </row>
    <row r="133" spans="1:25" ht="15.75" x14ac:dyDescent="0.25">
      <c r="A133" s="12" t="s">
        <v>138</v>
      </c>
      <c r="B133" s="9">
        <f>SUM(C133:W133)</f>
        <v>276</v>
      </c>
      <c r="C133" s="9">
        <v>32</v>
      </c>
      <c r="D133" s="9">
        <f>35+32</f>
        <v>67</v>
      </c>
      <c r="E133" s="10">
        <f>SUM(30+50)</f>
        <v>80</v>
      </c>
      <c r="F133" s="3">
        <v>0</v>
      </c>
      <c r="G133" s="3">
        <f>SUM(38+59)</f>
        <v>97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x14ac:dyDescent="0.25">
      <c r="A134" s="12" t="s">
        <v>106</v>
      </c>
      <c r="B134" s="9">
        <f>SUM(C134:W134)</f>
        <v>272.60000000000002</v>
      </c>
      <c r="C134" s="9"/>
      <c r="D134" s="9">
        <v>0</v>
      </c>
      <c r="E134" s="10">
        <f>SUM(55+53.6+80)</f>
        <v>188.6</v>
      </c>
      <c r="F134" s="3">
        <f>SUM(32+52)</f>
        <v>84</v>
      </c>
      <c r="X134" s="4"/>
      <c r="Y134" s="4"/>
    </row>
    <row r="135" spans="1:25" ht="15.75" x14ac:dyDescent="0.25">
      <c r="A135" s="12" t="s">
        <v>124</v>
      </c>
      <c r="B135" s="9">
        <f>SUM(C135:W135)</f>
        <v>270</v>
      </c>
      <c r="C135" s="9">
        <v>34</v>
      </c>
      <c r="D135" s="9">
        <v>31</v>
      </c>
      <c r="E135" s="10">
        <f>SUM(30)</f>
        <v>30</v>
      </c>
      <c r="F135" s="3">
        <f>SUM(53+32+56)</f>
        <v>141</v>
      </c>
      <c r="G135" s="3">
        <f>SUM(34)</f>
        <v>34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x14ac:dyDescent="0.25">
      <c r="A136" s="12" t="s">
        <v>223</v>
      </c>
      <c r="B136" s="9">
        <f>SUM(C136:W136)</f>
        <v>266</v>
      </c>
      <c r="C136" s="9">
        <f>54+32</f>
        <v>86</v>
      </c>
      <c r="D136" s="9">
        <f>34+31+55</f>
        <v>120</v>
      </c>
      <c r="E136" s="10">
        <f>SUM(30+30)</f>
        <v>60</v>
      </c>
      <c r="X136" s="4"/>
      <c r="Y136" s="4"/>
    </row>
    <row r="137" spans="1:25" ht="15.75" x14ac:dyDescent="0.25">
      <c r="A137" s="12" t="s">
        <v>109</v>
      </c>
      <c r="B137" s="9">
        <f>SUM(C137:W137)</f>
        <v>259</v>
      </c>
      <c r="C137" s="9"/>
      <c r="D137" s="9">
        <v>0</v>
      </c>
      <c r="E137" s="10">
        <v>0</v>
      </c>
      <c r="F137" s="3">
        <v>0</v>
      </c>
      <c r="G137" s="4"/>
      <c r="H137" s="4"/>
      <c r="I137" s="4"/>
      <c r="J137" s="4"/>
      <c r="K137" s="3">
        <v>259</v>
      </c>
      <c r="L137" s="4"/>
      <c r="M137" s="4"/>
      <c r="N137" s="4"/>
      <c r="O137" s="4"/>
      <c r="P137" s="3"/>
      <c r="Q137" s="3"/>
      <c r="R137" s="4"/>
      <c r="S137" s="4"/>
      <c r="T137" s="4"/>
      <c r="U137" s="4"/>
      <c r="V137" s="4"/>
      <c r="W137" s="4"/>
      <c r="X137" s="4"/>
      <c r="Y137" s="4"/>
    </row>
    <row r="138" spans="1:25" ht="15.75" x14ac:dyDescent="0.25">
      <c r="A138" s="12" t="s">
        <v>110</v>
      </c>
      <c r="B138" s="9">
        <f>SUM(C138:W138)</f>
        <v>256</v>
      </c>
      <c r="C138" s="9"/>
      <c r="D138" s="9">
        <v>0</v>
      </c>
      <c r="E138" s="10">
        <f>SUM(55+80)</f>
        <v>135</v>
      </c>
      <c r="F138" s="3">
        <f>SUM(56)</f>
        <v>56</v>
      </c>
      <c r="G138" s="3">
        <f>SUM(33)</f>
        <v>33</v>
      </c>
      <c r="H138" s="3">
        <v>32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x14ac:dyDescent="0.25">
      <c r="A139" s="12" t="s">
        <v>120</v>
      </c>
      <c r="B139" s="9">
        <f>SUM(C139:W139)</f>
        <v>253.6</v>
      </c>
      <c r="C139" s="9"/>
      <c r="D139" s="9">
        <v>31</v>
      </c>
      <c r="E139" s="10">
        <v>0</v>
      </c>
      <c r="F139" s="3">
        <v>0</v>
      </c>
      <c r="G139" s="3">
        <f>SUM(30.6+48.4+49.6)</f>
        <v>128.6</v>
      </c>
      <c r="H139" s="4"/>
      <c r="I139" s="4"/>
      <c r="J139" s="4"/>
      <c r="K139" s="4"/>
      <c r="L139" s="4"/>
      <c r="M139" s="3">
        <v>94</v>
      </c>
      <c r="N139" s="4"/>
      <c r="O139" s="4"/>
      <c r="P139" s="3"/>
      <c r="Q139" s="3"/>
      <c r="R139" s="4"/>
      <c r="S139" s="4"/>
      <c r="T139" s="4"/>
      <c r="U139" s="4"/>
      <c r="V139" s="4"/>
      <c r="W139" s="4"/>
      <c r="X139" s="4"/>
      <c r="Y139" s="4"/>
    </row>
    <row r="140" spans="1:25" ht="15.75" x14ac:dyDescent="0.25">
      <c r="A140" s="12" t="s">
        <v>111</v>
      </c>
      <c r="B140" s="9">
        <f>SUM(C140:W140)</f>
        <v>244</v>
      </c>
      <c r="C140" s="9"/>
      <c r="D140" s="9">
        <v>0</v>
      </c>
      <c r="E140" s="10">
        <v>0</v>
      </c>
      <c r="F140" s="3">
        <v>0</v>
      </c>
      <c r="G140" s="3"/>
      <c r="H140" s="3">
        <f>SUM(80)</f>
        <v>80</v>
      </c>
      <c r="I140" s="3">
        <v>68</v>
      </c>
      <c r="J140" s="3">
        <v>96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4"/>
      <c r="Y140" s="4"/>
    </row>
    <row r="141" spans="1:25" ht="15.75" x14ac:dyDescent="0.25">
      <c r="A141" s="12" t="s">
        <v>334</v>
      </c>
      <c r="B141" s="9">
        <f>SUM(C141:W141)</f>
        <v>237.5</v>
      </c>
      <c r="C141" s="9">
        <f>40.5+54+56+56</f>
        <v>206.5</v>
      </c>
      <c r="D141" s="17">
        <v>31</v>
      </c>
      <c r="E141" s="15"/>
      <c r="X141" s="4"/>
      <c r="Y141" s="4"/>
    </row>
    <row r="142" spans="1:25" ht="15.75" x14ac:dyDescent="0.25">
      <c r="A142" s="12" t="s">
        <v>113</v>
      </c>
      <c r="B142" s="9">
        <f>SUM(C142:W142)</f>
        <v>236.5</v>
      </c>
      <c r="C142" s="9"/>
      <c r="D142" s="9">
        <v>0</v>
      </c>
      <c r="E142" s="10">
        <v>0</v>
      </c>
      <c r="F142" s="3">
        <v>0</v>
      </c>
      <c r="G142" s="4"/>
      <c r="H142" s="4"/>
      <c r="I142" s="4"/>
      <c r="J142" s="3">
        <v>46.5</v>
      </c>
      <c r="K142" s="4"/>
      <c r="L142" s="4"/>
      <c r="M142" s="3">
        <v>190</v>
      </c>
      <c r="N142" s="4"/>
      <c r="O142" s="4"/>
      <c r="P142" s="3"/>
      <c r="Q142" s="3"/>
      <c r="R142" s="4"/>
      <c r="S142" s="4"/>
      <c r="T142" s="4"/>
      <c r="U142" s="4"/>
      <c r="V142" s="4"/>
      <c r="W142" s="4"/>
      <c r="X142" s="4"/>
      <c r="Y142" s="4"/>
    </row>
    <row r="143" spans="1:25" ht="15.75" x14ac:dyDescent="0.25">
      <c r="A143" s="12" t="s">
        <v>117</v>
      </c>
      <c r="B143" s="9">
        <f>SUM(C143:W143)</f>
        <v>229</v>
      </c>
      <c r="C143" s="9"/>
      <c r="D143" s="9">
        <v>0</v>
      </c>
      <c r="E143" s="10">
        <v>0</v>
      </c>
      <c r="F143" s="3">
        <f>SUM(30)</f>
        <v>30</v>
      </c>
      <c r="G143" s="3">
        <f>SUM(30+50+51)</f>
        <v>131</v>
      </c>
      <c r="H143" s="3">
        <f>SUM(34+34)</f>
        <v>68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x14ac:dyDescent="0.25">
      <c r="A144" s="12" t="s">
        <v>316</v>
      </c>
      <c r="B144" s="9">
        <f>SUM(C144:W144)</f>
        <v>228.6</v>
      </c>
      <c r="C144" s="9">
        <v>56</v>
      </c>
      <c r="D144" s="9">
        <f>31.6+36+50+55</f>
        <v>172.6</v>
      </c>
      <c r="E144" s="10"/>
      <c r="X144" s="4"/>
      <c r="Y144" s="4"/>
    </row>
    <row r="145" spans="1:25" ht="15.75" x14ac:dyDescent="0.25">
      <c r="A145" s="12" t="s">
        <v>118</v>
      </c>
      <c r="B145" s="9">
        <f>SUM(C145:W145)</f>
        <v>227.5</v>
      </c>
      <c r="C145" s="9"/>
      <c r="D145" s="9">
        <v>0</v>
      </c>
      <c r="E145" s="10">
        <v>0</v>
      </c>
      <c r="F145" s="3">
        <v>0</v>
      </c>
      <c r="G145" s="4"/>
      <c r="H145" s="3">
        <f>SUM(53+80)</f>
        <v>133</v>
      </c>
      <c r="I145" s="3">
        <v>94.5</v>
      </c>
      <c r="J145" s="4"/>
      <c r="K145" s="4"/>
      <c r="L145" s="4"/>
      <c r="M145" s="4"/>
      <c r="N145" s="4"/>
      <c r="O145" s="4"/>
      <c r="P145" s="3"/>
      <c r="Q145" s="3"/>
      <c r="R145" s="4"/>
      <c r="S145" s="4"/>
      <c r="T145" s="4"/>
      <c r="U145" s="4"/>
      <c r="V145" s="4"/>
      <c r="W145" s="4"/>
      <c r="X145" s="4"/>
      <c r="Y145" s="4"/>
    </row>
    <row r="146" spans="1:25" ht="15.75" x14ac:dyDescent="0.25">
      <c r="A146" s="12" t="s">
        <v>119</v>
      </c>
      <c r="B146" s="9">
        <f>SUM(C146:W146)</f>
        <v>226</v>
      </c>
      <c r="C146" s="9"/>
      <c r="D146" s="9">
        <v>0</v>
      </c>
      <c r="E146" s="10">
        <v>0</v>
      </c>
      <c r="F146" s="3">
        <f>SUM(67)</f>
        <v>67</v>
      </c>
      <c r="G146" s="3">
        <f>SUM(42+50+67)</f>
        <v>159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x14ac:dyDescent="0.25">
      <c r="A147" s="12" t="s">
        <v>187</v>
      </c>
      <c r="B147" s="9">
        <f>SUM(C147:W147)</f>
        <v>224.2</v>
      </c>
      <c r="C147" s="9"/>
      <c r="D147" s="9">
        <f>31.6+53.6+55</f>
        <v>140.19999999999999</v>
      </c>
      <c r="E147" s="10">
        <f>SUM(34+50)</f>
        <v>84</v>
      </c>
      <c r="X147" s="4"/>
      <c r="Y147" s="4"/>
    </row>
    <row r="148" spans="1:25" ht="15.75" x14ac:dyDescent="0.25">
      <c r="A148" s="12" t="s">
        <v>121</v>
      </c>
      <c r="B148" s="9">
        <f>SUM(C148:W148)</f>
        <v>214</v>
      </c>
      <c r="C148" s="9"/>
      <c r="D148" s="9">
        <v>0</v>
      </c>
      <c r="E148" s="10">
        <v>0</v>
      </c>
      <c r="F148" s="3">
        <v>0</v>
      </c>
      <c r="G148" s="4"/>
      <c r="H148" s="4"/>
      <c r="I148" s="4"/>
      <c r="J148" s="4"/>
      <c r="K148" s="4"/>
      <c r="L148" s="3">
        <v>80</v>
      </c>
      <c r="M148" s="3">
        <v>134</v>
      </c>
      <c r="N148" s="4"/>
      <c r="O148" s="4"/>
      <c r="P148" s="3"/>
      <c r="Q148" s="3"/>
      <c r="R148" s="4"/>
      <c r="S148" s="4"/>
      <c r="T148" s="4"/>
      <c r="U148" s="4"/>
      <c r="V148" s="4"/>
      <c r="W148" s="4"/>
      <c r="X148" s="4"/>
      <c r="Y148" s="4"/>
    </row>
    <row r="149" spans="1:25" ht="15.75" x14ac:dyDescent="0.25">
      <c r="A149" s="12" t="s">
        <v>327</v>
      </c>
      <c r="B149" s="9">
        <f>SUM(C149:W149)</f>
        <v>211</v>
      </c>
      <c r="C149" s="9">
        <f>54+56</f>
        <v>110</v>
      </c>
      <c r="D149" s="17">
        <f>34+31+36</f>
        <v>101</v>
      </c>
      <c r="E149" s="15"/>
      <c r="X149" s="4"/>
      <c r="Y149" s="4"/>
    </row>
    <row r="150" spans="1:25" ht="15.75" x14ac:dyDescent="0.25">
      <c r="A150" s="12" t="s">
        <v>123</v>
      </c>
      <c r="B150" s="9">
        <f>SUM(C150:W150)</f>
        <v>207.6</v>
      </c>
      <c r="C150" s="9"/>
      <c r="D150" s="9">
        <v>0</v>
      </c>
      <c r="E150" s="10">
        <v>0</v>
      </c>
      <c r="F150" s="3">
        <v>0</v>
      </c>
      <c r="G150" s="3">
        <f>SUM(31.6+52+67+57)</f>
        <v>207.6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4"/>
      <c r="Y150" s="4"/>
    </row>
    <row r="151" spans="1:25" ht="15.75" x14ac:dyDescent="0.25">
      <c r="A151" s="12" t="s">
        <v>125</v>
      </c>
      <c r="B151" s="9">
        <f>SUM(C151:W151)</f>
        <v>202</v>
      </c>
      <c r="C151" s="9"/>
      <c r="D151" s="9">
        <v>0</v>
      </c>
      <c r="E151" s="10">
        <v>0</v>
      </c>
      <c r="F151" s="3">
        <f>SUM(54)</f>
        <v>54</v>
      </c>
      <c r="G151" s="3">
        <f>SUM(38+51+59)</f>
        <v>148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x14ac:dyDescent="0.25">
      <c r="A152" s="12" t="s">
        <v>126</v>
      </c>
      <c r="B152" s="9">
        <f>SUM(C152:W152)</f>
        <v>200.5</v>
      </c>
      <c r="C152" s="9"/>
      <c r="D152" s="9">
        <v>0</v>
      </c>
      <c r="E152" s="10">
        <v>0</v>
      </c>
      <c r="F152" s="3">
        <v>0</v>
      </c>
      <c r="G152" s="4"/>
      <c r="H152" s="4"/>
      <c r="I152" s="4"/>
      <c r="J152" s="4"/>
      <c r="K152" s="3">
        <v>167.5</v>
      </c>
      <c r="L152" s="3">
        <v>33</v>
      </c>
      <c r="M152" s="4"/>
      <c r="N152" s="4"/>
      <c r="O152" s="4"/>
      <c r="P152" s="3"/>
      <c r="Q152" s="3"/>
      <c r="R152" s="4"/>
      <c r="S152" s="4"/>
      <c r="T152" s="4"/>
      <c r="U152" s="4"/>
      <c r="V152" s="4"/>
      <c r="W152" s="4"/>
      <c r="X152" s="4"/>
      <c r="Y152" s="4"/>
    </row>
    <row r="153" spans="1:25" ht="15.75" x14ac:dyDescent="0.25">
      <c r="A153" s="12" t="s">
        <v>128</v>
      </c>
      <c r="B153" s="9">
        <f>SUM(C153:W153)</f>
        <v>192.7</v>
      </c>
      <c r="C153" s="9"/>
      <c r="D153" s="9">
        <v>0</v>
      </c>
      <c r="E153" s="10">
        <v>0</v>
      </c>
      <c r="F153" s="3">
        <f>SUM(32.8+42.4)</f>
        <v>75.199999999999989</v>
      </c>
      <c r="G153" s="3">
        <f>SUM(48.4+30.6)</f>
        <v>79</v>
      </c>
      <c r="H153" s="3">
        <f>SUM(38.5)</f>
        <v>38.5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x14ac:dyDescent="0.25">
      <c r="A154" s="12" t="s">
        <v>167</v>
      </c>
      <c r="B154" s="9">
        <f>SUM(C154:W154)</f>
        <v>190.5</v>
      </c>
      <c r="C154" s="9">
        <v>32</v>
      </c>
      <c r="D154" s="9">
        <v>32</v>
      </c>
      <c r="E154" s="10">
        <f>SUM(30.5)</f>
        <v>30.5</v>
      </c>
      <c r="F154" s="3">
        <v>0</v>
      </c>
      <c r="G154" s="4"/>
      <c r="H154" s="3">
        <f>SUM(34+62)</f>
        <v>96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x14ac:dyDescent="0.25">
      <c r="A155" s="12" t="s">
        <v>129</v>
      </c>
      <c r="B155" s="9">
        <f>SUM(C155:W155)</f>
        <v>188</v>
      </c>
      <c r="C155" s="9"/>
      <c r="D155" s="9">
        <v>0</v>
      </c>
      <c r="E155" s="10">
        <f>SUM(35)</f>
        <v>35</v>
      </c>
      <c r="F155" s="3">
        <v>0</v>
      </c>
      <c r="G155" s="4"/>
      <c r="H155" s="4"/>
      <c r="I155" s="3">
        <v>42</v>
      </c>
      <c r="J155" s="3">
        <v>56</v>
      </c>
      <c r="K155" s="4"/>
      <c r="L155" s="4"/>
      <c r="M155" s="4"/>
      <c r="N155" s="4"/>
      <c r="O155" s="3">
        <v>55</v>
      </c>
      <c r="P155" s="3"/>
      <c r="Q155" s="3"/>
      <c r="R155" s="4"/>
      <c r="S155" s="4"/>
      <c r="T155" s="4"/>
      <c r="U155" s="4"/>
      <c r="V155" s="4"/>
      <c r="W155" s="4"/>
      <c r="X155" s="4"/>
      <c r="Y155" s="4"/>
    </row>
    <row r="156" spans="1:25" ht="15.75" x14ac:dyDescent="0.25">
      <c r="A156" s="12" t="s">
        <v>130</v>
      </c>
      <c r="B156" s="9">
        <f>SUM(C156:W156)</f>
        <v>187</v>
      </c>
      <c r="C156" s="9"/>
      <c r="D156" s="9">
        <v>0</v>
      </c>
      <c r="E156" s="10">
        <v>0</v>
      </c>
      <c r="F156" s="3">
        <v>0</v>
      </c>
      <c r="G156" s="4"/>
      <c r="H156" s="4"/>
      <c r="I156" s="4"/>
      <c r="J156" s="4"/>
      <c r="K156" s="4"/>
      <c r="L156" s="3">
        <v>187</v>
      </c>
      <c r="M156" s="4"/>
      <c r="N156" s="4"/>
      <c r="O156" s="4"/>
      <c r="P156" s="3"/>
      <c r="Q156" s="3"/>
      <c r="R156" s="4"/>
      <c r="S156" s="4"/>
      <c r="T156" s="4"/>
      <c r="U156" s="4"/>
      <c r="V156" s="4"/>
      <c r="W156" s="4"/>
      <c r="X156" s="4"/>
      <c r="Y156" s="4"/>
    </row>
    <row r="157" spans="1:25" ht="15.75" x14ac:dyDescent="0.25">
      <c r="A157" s="8" t="s">
        <v>131</v>
      </c>
      <c r="B157" s="9">
        <f>SUM(C157:W157)</f>
        <v>186</v>
      </c>
      <c r="C157" s="9"/>
      <c r="D157" s="9">
        <v>0</v>
      </c>
      <c r="E157" s="10">
        <v>0</v>
      </c>
      <c r="F157" s="3">
        <v>0</v>
      </c>
      <c r="G157" s="4"/>
      <c r="H157" s="4"/>
      <c r="I157" s="4"/>
      <c r="J157" s="4"/>
      <c r="K157" s="4"/>
      <c r="L157" s="4"/>
      <c r="M157" s="4"/>
      <c r="N157" s="4"/>
      <c r="O157" s="3">
        <v>186</v>
      </c>
      <c r="P157" s="3"/>
      <c r="Q157" s="3"/>
      <c r="R157" s="4"/>
      <c r="S157" s="4"/>
      <c r="T157" s="4"/>
      <c r="U157" s="4"/>
      <c r="V157" s="4"/>
      <c r="W157" s="4"/>
      <c r="X157" s="4"/>
      <c r="Y157" s="4"/>
    </row>
    <row r="158" spans="1:25" ht="15.75" x14ac:dyDescent="0.25">
      <c r="A158" s="12" t="s">
        <v>132</v>
      </c>
      <c r="B158" s="9">
        <f>SUM(C158:W158)</f>
        <v>185</v>
      </c>
      <c r="C158" s="9"/>
      <c r="D158" s="9">
        <v>0</v>
      </c>
      <c r="E158" s="10">
        <v>0</v>
      </c>
      <c r="F158" s="3">
        <v>0</v>
      </c>
      <c r="G158" s="4"/>
      <c r="H158" s="4"/>
      <c r="I158" s="4"/>
      <c r="J158" s="4"/>
      <c r="K158" s="4"/>
      <c r="L158" s="4"/>
      <c r="M158" s="4"/>
      <c r="N158" s="3">
        <v>38</v>
      </c>
      <c r="O158" s="3">
        <v>74</v>
      </c>
      <c r="P158" s="3">
        <v>73</v>
      </c>
      <c r="Q158" s="3"/>
      <c r="R158" s="4"/>
      <c r="S158" s="4"/>
      <c r="T158" s="4"/>
      <c r="U158" s="4"/>
      <c r="V158" s="4"/>
      <c r="W158" s="4"/>
      <c r="X158" s="4"/>
      <c r="Y158" s="4"/>
    </row>
    <row r="159" spans="1:25" ht="15.75" x14ac:dyDescent="0.25">
      <c r="A159" s="8" t="s">
        <v>133</v>
      </c>
      <c r="B159" s="9">
        <f>SUM(C159:W159)</f>
        <v>182</v>
      </c>
      <c r="C159" s="9"/>
      <c r="D159" s="9">
        <v>0</v>
      </c>
      <c r="E159" s="10">
        <v>0</v>
      </c>
      <c r="F159" s="3">
        <v>0</v>
      </c>
      <c r="G159" s="4"/>
      <c r="H159" s="4"/>
      <c r="I159" s="4"/>
      <c r="J159" s="4"/>
      <c r="K159" s="4"/>
      <c r="L159" s="4"/>
      <c r="M159" s="4"/>
      <c r="N159" s="3">
        <v>143</v>
      </c>
      <c r="O159" s="3">
        <v>39</v>
      </c>
      <c r="P159" s="3"/>
      <c r="Q159" s="3"/>
      <c r="R159" s="4"/>
      <c r="S159" s="4"/>
      <c r="T159" s="4"/>
      <c r="U159" s="4"/>
      <c r="V159" s="4"/>
      <c r="W159" s="4"/>
      <c r="X159" s="4"/>
      <c r="Y159" s="4"/>
    </row>
    <row r="160" spans="1:25" ht="15.75" x14ac:dyDescent="0.25">
      <c r="A160" s="8" t="s">
        <v>134</v>
      </c>
      <c r="B160" s="9">
        <f>SUM(C160:W160)</f>
        <v>181.6</v>
      </c>
      <c r="C160" s="9"/>
      <c r="D160" s="9">
        <v>0</v>
      </c>
      <c r="E160" s="10">
        <v>0</v>
      </c>
      <c r="F160" s="3">
        <f>SUM(54+34)</f>
        <v>88</v>
      </c>
      <c r="G160" s="3">
        <f>SUM(30+31.6)</f>
        <v>61.6</v>
      </c>
      <c r="H160" s="3">
        <f>SUM(32)</f>
        <v>32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x14ac:dyDescent="0.25">
      <c r="A161" s="8" t="s">
        <v>135</v>
      </c>
      <c r="B161" s="9">
        <f>SUM(C161:W161)</f>
        <v>180</v>
      </c>
      <c r="C161" s="9"/>
      <c r="D161" s="9">
        <v>0</v>
      </c>
      <c r="E161" s="10">
        <v>0</v>
      </c>
      <c r="F161" s="3">
        <v>0</v>
      </c>
      <c r="G161" s="4"/>
      <c r="H161" s="4"/>
      <c r="I161" s="4"/>
      <c r="J161" s="4"/>
      <c r="K161" s="4"/>
      <c r="L161" s="4"/>
      <c r="M161" s="3">
        <v>59</v>
      </c>
      <c r="N161" s="3">
        <v>91</v>
      </c>
      <c r="O161" s="3">
        <v>30</v>
      </c>
      <c r="P161" s="3"/>
      <c r="Q161" s="3"/>
      <c r="R161" s="4"/>
      <c r="S161" s="4"/>
      <c r="T161" s="4"/>
      <c r="U161" s="4"/>
      <c r="V161" s="4"/>
      <c r="W161" s="4"/>
      <c r="X161" s="4"/>
      <c r="Y161" s="4"/>
    </row>
    <row r="162" spans="1:25" ht="15.75" x14ac:dyDescent="0.25">
      <c r="A162" s="8" t="s">
        <v>136</v>
      </c>
      <c r="B162" s="9">
        <f>SUM(C162:W162)</f>
        <v>179.5</v>
      </c>
      <c r="C162" s="9"/>
      <c r="D162" s="9">
        <v>0</v>
      </c>
      <c r="E162" s="10">
        <v>0</v>
      </c>
      <c r="F162" s="3">
        <v>0</v>
      </c>
      <c r="G162" s="4"/>
      <c r="H162" s="3">
        <f>SUM(34+51+51)</f>
        <v>136</v>
      </c>
      <c r="I162" s="3">
        <v>43.5</v>
      </c>
      <c r="J162" s="4"/>
      <c r="K162" s="4"/>
      <c r="L162" s="4"/>
      <c r="M162" s="4"/>
      <c r="N162" s="4"/>
      <c r="O162" s="4"/>
      <c r="P162" s="3"/>
      <c r="Q162" s="3"/>
      <c r="R162" s="4"/>
      <c r="S162" s="4"/>
      <c r="T162" s="4"/>
      <c r="U162" s="4"/>
      <c r="V162" s="4"/>
      <c r="W162" s="4"/>
      <c r="X162" s="4"/>
      <c r="Y162" s="4"/>
    </row>
    <row r="163" spans="1:25" ht="15.75" x14ac:dyDescent="0.25">
      <c r="A163" s="8" t="s">
        <v>139</v>
      </c>
      <c r="B163" s="9">
        <f>SUM(C163:W163)</f>
        <v>176</v>
      </c>
      <c r="C163" s="9"/>
      <c r="D163" s="9">
        <v>0</v>
      </c>
      <c r="E163" s="10">
        <v>0</v>
      </c>
      <c r="F163" s="3">
        <v>0</v>
      </c>
      <c r="G163" s="4"/>
      <c r="H163" s="4"/>
      <c r="I163" s="4"/>
      <c r="J163" s="4"/>
      <c r="K163" s="4"/>
      <c r="L163" s="4"/>
      <c r="M163" s="4"/>
      <c r="N163" s="3">
        <v>34</v>
      </c>
      <c r="O163" s="3">
        <v>142</v>
      </c>
      <c r="P163" s="3"/>
      <c r="Q163" s="3"/>
      <c r="R163" s="4"/>
      <c r="S163" s="4"/>
      <c r="T163" s="4"/>
      <c r="U163" s="4"/>
      <c r="V163" s="4"/>
      <c r="W163" s="4"/>
      <c r="X163" s="4"/>
      <c r="Y163" s="4"/>
    </row>
    <row r="164" spans="1:25" ht="15.75" x14ac:dyDescent="0.25">
      <c r="A164" s="12" t="s">
        <v>140</v>
      </c>
      <c r="B164" s="9">
        <f>SUM(C164:W164)</f>
        <v>175</v>
      </c>
      <c r="C164" s="9"/>
      <c r="D164" s="9">
        <v>0</v>
      </c>
      <c r="E164" s="10">
        <v>0</v>
      </c>
      <c r="F164" s="3">
        <v>0</v>
      </c>
      <c r="G164" s="4"/>
      <c r="H164" s="3">
        <f>SUM(39)</f>
        <v>39</v>
      </c>
      <c r="I164" s="3">
        <v>136</v>
      </c>
      <c r="J164" s="4"/>
      <c r="K164" s="4"/>
      <c r="L164" s="4"/>
      <c r="M164" s="4"/>
      <c r="N164" s="4"/>
      <c r="O164" s="4"/>
      <c r="P164" s="3"/>
      <c r="Q164" s="3"/>
      <c r="R164" s="4"/>
      <c r="S164" s="4"/>
      <c r="T164" s="4"/>
      <c r="U164" s="4"/>
      <c r="V164" s="4"/>
      <c r="W164" s="4"/>
      <c r="X164" s="4"/>
      <c r="Y164" s="4"/>
    </row>
    <row r="165" spans="1:25" ht="15.75" x14ac:dyDescent="0.25">
      <c r="A165" s="8" t="s">
        <v>141</v>
      </c>
      <c r="B165" s="9">
        <f>SUM(C165:W165)</f>
        <v>174.5</v>
      </c>
      <c r="C165" s="9"/>
      <c r="D165" s="9">
        <v>0</v>
      </c>
      <c r="E165" s="10">
        <v>0</v>
      </c>
      <c r="F165" s="3">
        <v>0</v>
      </c>
      <c r="G165" s="3">
        <f>SUM(39+38+59)</f>
        <v>136</v>
      </c>
      <c r="H165" s="3">
        <f>SUM(38.5)</f>
        <v>38.5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x14ac:dyDescent="0.25">
      <c r="A166" s="8" t="s">
        <v>142</v>
      </c>
      <c r="B166" s="9">
        <f>SUM(C166:W166)</f>
        <v>174</v>
      </c>
      <c r="C166" s="9"/>
      <c r="D166" s="9">
        <v>0</v>
      </c>
      <c r="E166" s="10">
        <v>0</v>
      </c>
      <c r="F166" s="3">
        <v>0</v>
      </c>
      <c r="G166" s="4"/>
      <c r="H166" s="4"/>
      <c r="I166" s="4"/>
      <c r="J166" s="4"/>
      <c r="K166" s="4"/>
      <c r="L166" s="4"/>
      <c r="M166" s="4"/>
      <c r="N166" s="3">
        <v>174</v>
      </c>
      <c r="O166" s="4"/>
      <c r="P166" s="3"/>
      <c r="Q166" s="3"/>
      <c r="R166" s="4"/>
      <c r="S166" s="4"/>
      <c r="T166" s="4"/>
      <c r="U166" s="4"/>
      <c r="V166" s="4"/>
      <c r="W166" s="4"/>
      <c r="X166" s="4"/>
      <c r="Y166" s="4"/>
    </row>
    <row r="167" spans="1:25" ht="15.75" x14ac:dyDescent="0.25">
      <c r="A167" s="8" t="s">
        <v>157</v>
      </c>
      <c r="B167" s="9">
        <f>SUM(C167:W167)</f>
        <v>168</v>
      </c>
      <c r="C167" s="9"/>
      <c r="D167" s="9">
        <v>31</v>
      </c>
      <c r="E167" s="10">
        <f>SUM(30)</f>
        <v>30</v>
      </c>
      <c r="F167" s="3">
        <f>SUM(32)</f>
        <v>32</v>
      </c>
      <c r="G167" s="4"/>
      <c r="H167" s="3">
        <f>SUM(34)</f>
        <v>34</v>
      </c>
      <c r="I167" s="3">
        <v>41</v>
      </c>
      <c r="J167" s="4"/>
      <c r="K167" s="4"/>
      <c r="L167" s="4"/>
      <c r="M167" s="4"/>
      <c r="N167" s="4"/>
      <c r="O167" s="4"/>
      <c r="P167" s="3"/>
      <c r="Q167" s="3"/>
      <c r="R167" s="4"/>
      <c r="S167" s="4"/>
      <c r="T167" s="4"/>
      <c r="U167" s="4"/>
      <c r="V167" s="4"/>
      <c r="W167" s="4"/>
      <c r="X167" s="4"/>
      <c r="Y167" s="4"/>
    </row>
    <row r="168" spans="1:25" ht="15.75" x14ac:dyDescent="0.25">
      <c r="A168" s="8" t="s">
        <v>186</v>
      </c>
      <c r="B168" s="9">
        <f>SUM(C168:W168)</f>
        <v>164.6</v>
      </c>
      <c r="C168" s="9"/>
      <c r="D168" s="9">
        <f>31.6+48</f>
        <v>79.599999999999994</v>
      </c>
      <c r="E168" s="10">
        <f>SUM(35+50)</f>
        <v>85</v>
      </c>
      <c r="X168" s="4"/>
      <c r="Y168" s="4"/>
    </row>
    <row r="169" spans="1:25" ht="15.75" x14ac:dyDescent="0.25">
      <c r="A169" s="8" t="s">
        <v>145</v>
      </c>
      <c r="B169" s="9">
        <f>SUM(C169:W169)</f>
        <v>160.85</v>
      </c>
      <c r="C169" s="9"/>
      <c r="D169" s="9">
        <v>0</v>
      </c>
      <c r="E169" s="10">
        <v>0</v>
      </c>
      <c r="F169" s="3">
        <v>0</v>
      </c>
      <c r="G169" s="4"/>
      <c r="H169" s="4"/>
      <c r="I169" s="4"/>
      <c r="J169" s="3">
        <v>118.85</v>
      </c>
      <c r="K169" s="3">
        <v>42</v>
      </c>
      <c r="L169" s="4"/>
      <c r="M169" s="4"/>
      <c r="N169" s="4"/>
      <c r="O169" s="4"/>
      <c r="P169" s="3"/>
      <c r="Q169" s="3"/>
      <c r="R169" s="4"/>
      <c r="S169" s="4"/>
      <c r="T169" s="4"/>
      <c r="U169" s="4"/>
      <c r="V169" s="4"/>
      <c r="W169" s="4"/>
      <c r="X169" s="4"/>
      <c r="Y169" s="4"/>
    </row>
    <row r="170" spans="1:25" ht="15.75" x14ac:dyDescent="0.25">
      <c r="A170" s="8" t="s">
        <v>146</v>
      </c>
      <c r="B170" s="9">
        <f>SUM(C170:W170)</f>
        <v>159.4</v>
      </c>
      <c r="C170" s="9"/>
      <c r="D170" s="9">
        <v>0</v>
      </c>
      <c r="E170" s="10">
        <v>0</v>
      </c>
      <c r="F170" s="3">
        <v>0</v>
      </c>
      <c r="G170" s="4"/>
      <c r="H170" s="3">
        <f>SUM(34+34+45)</f>
        <v>113</v>
      </c>
      <c r="I170" s="4"/>
      <c r="J170" s="3">
        <v>46.4</v>
      </c>
      <c r="K170" s="4"/>
      <c r="L170" s="4"/>
      <c r="M170" s="4"/>
      <c r="N170" s="4"/>
      <c r="O170" s="4"/>
      <c r="P170" s="3"/>
      <c r="Q170" s="3"/>
      <c r="R170" s="4"/>
      <c r="S170" s="4"/>
      <c r="T170" s="4"/>
      <c r="U170" s="4"/>
      <c r="V170" s="4"/>
      <c r="W170" s="4"/>
      <c r="X170" s="4"/>
      <c r="Y170" s="4"/>
    </row>
    <row r="171" spans="1:25" ht="15.75" x14ac:dyDescent="0.25">
      <c r="A171" s="12" t="s">
        <v>147</v>
      </c>
      <c r="B171" s="9">
        <f>SUM(C171:W171)</f>
        <v>152</v>
      </c>
      <c r="C171" s="9"/>
      <c r="D171" s="9">
        <v>0</v>
      </c>
      <c r="E171" s="10">
        <v>0</v>
      </c>
      <c r="F171" s="3">
        <v>0</v>
      </c>
      <c r="G171" s="4"/>
      <c r="H171" s="3">
        <f>SUM(39+62+51)</f>
        <v>152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x14ac:dyDescent="0.25">
      <c r="A172" s="8" t="s">
        <v>151</v>
      </c>
      <c r="B172" s="9">
        <f>SUM(C172:W172)</f>
        <v>146</v>
      </c>
      <c r="C172" s="9"/>
      <c r="D172" s="9">
        <v>0</v>
      </c>
      <c r="E172" s="10">
        <v>0</v>
      </c>
      <c r="F172" s="3">
        <v>0</v>
      </c>
      <c r="G172" s="4"/>
      <c r="H172" s="3">
        <f>SUM(39+45+62)</f>
        <v>146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x14ac:dyDescent="0.25">
      <c r="A173" s="8" t="s">
        <v>152</v>
      </c>
      <c r="B173" s="9">
        <f>SUM(C173:W173)</f>
        <v>146</v>
      </c>
      <c r="C173" s="9"/>
      <c r="D173" s="9">
        <v>0</v>
      </c>
      <c r="E173" s="10">
        <v>0</v>
      </c>
      <c r="F173" s="3">
        <v>0</v>
      </c>
      <c r="G173" s="4"/>
      <c r="H173" s="4"/>
      <c r="I173" s="4"/>
      <c r="J173" s="4"/>
      <c r="K173" s="4"/>
      <c r="L173" s="4"/>
      <c r="M173" s="4"/>
      <c r="N173" s="3">
        <v>146</v>
      </c>
      <c r="O173" s="4"/>
      <c r="P173" s="3"/>
      <c r="Q173" s="3"/>
      <c r="R173" s="4"/>
      <c r="S173" s="4"/>
      <c r="T173" s="4"/>
      <c r="U173" s="4"/>
      <c r="V173" s="4"/>
      <c r="W173" s="4"/>
      <c r="X173" s="4"/>
      <c r="Y173" s="4"/>
    </row>
    <row r="174" spans="1:25" ht="15.75" x14ac:dyDescent="0.25">
      <c r="A174" s="8" t="s">
        <v>153</v>
      </c>
      <c r="B174" s="9">
        <f>SUM(C174:W174)</f>
        <v>145.4</v>
      </c>
      <c r="C174" s="9"/>
      <c r="D174" s="9">
        <v>0</v>
      </c>
      <c r="E174" s="10">
        <v>0</v>
      </c>
      <c r="F174" s="3">
        <v>0</v>
      </c>
      <c r="G174" s="3">
        <f>SUM(30.6+30.6+34.6+49.6)</f>
        <v>145.4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x14ac:dyDescent="0.25">
      <c r="A175" s="8" t="s">
        <v>346</v>
      </c>
      <c r="B175" s="9">
        <f>SUM(C175:W175)</f>
        <v>143</v>
      </c>
      <c r="C175" s="9">
        <v>56</v>
      </c>
      <c r="D175" s="17">
        <f>32+55</f>
        <v>87</v>
      </c>
      <c r="E175" s="15"/>
      <c r="X175" s="4"/>
      <c r="Y175" s="4"/>
    </row>
    <row r="176" spans="1:25" ht="15.75" x14ac:dyDescent="0.25">
      <c r="A176" s="12" t="s">
        <v>154</v>
      </c>
      <c r="B176" s="9">
        <f>SUM(C176:W176)</f>
        <v>142.6</v>
      </c>
      <c r="C176" s="9"/>
      <c r="D176" s="9">
        <v>0</v>
      </c>
      <c r="E176" s="10">
        <v>0</v>
      </c>
      <c r="F176" s="3">
        <v>0</v>
      </c>
      <c r="G176" s="3">
        <f>SUM(34+49.6+59)</f>
        <v>142.6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x14ac:dyDescent="0.25">
      <c r="A177" s="16" t="s">
        <v>155</v>
      </c>
      <c r="B177" s="9">
        <f>SUM(C177:W177)</f>
        <v>142</v>
      </c>
      <c r="C177" s="9"/>
      <c r="D177" s="9">
        <v>0</v>
      </c>
      <c r="E177" s="10">
        <v>0</v>
      </c>
      <c r="F177" s="3">
        <f>SUM(34+52+56)</f>
        <v>142</v>
      </c>
      <c r="X177" s="4"/>
      <c r="Y177" s="4"/>
    </row>
    <row r="178" spans="1:25" ht="15.75" x14ac:dyDescent="0.25">
      <c r="A178" s="12" t="s">
        <v>158</v>
      </c>
      <c r="B178" s="9">
        <f>SUM(C178:W178)</f>
        <v>136</v>
      </c>
      <c r="C178" s="9"/>
      <c r="D178" s="9">
        <v>0</v>
      </c>
      <c r="E178" s="10">
        <v>0</v>
      </c>
      <c r="F178" s="3">
        <v>0</v>
      </c>
      <c r="G178" s="3">
        <f>SUM(34+52+50)</f>
        <v>136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x14ac:dyDescent="0.25">
      <c r="A179" s="16" t="s">
        <v>159</v>
      </c>
      <c r="B179" s="9">
        <f>SUM(C179:W179)</f>
        <v>135</v>
      </c>
      <c r="C179" s="9"/>
      <c r="D179" s="9">
        <v>0</v>
      </c>
      <c r="E179" s="10">
        <f>SUM(35)</f>
        <v>35</v>
      </c>
      <c r="F179" s="3">
        <f>SUM(34+32+34)</f>
        <v>100</v>
      </c>
      <c r="X179" s="4"/>
      <c r="Y179" s="4"/>
    </row>
    <row r="180" spans="1:25" ht="15.75" x14ac:dyDescent="0.25">
      <c r="A180" s="12" t="s">
        <v>336</v>
      </c>
      <c r="B180" s="9">
        <f>SUM(C180:W180)</f>
        <v>135</v>
      </c>
      <c r="C180" s="9">
        <v>54</v>
      </c>
      <c r="D180" s="17">
        <f>31+50</f>
        <v>81</v>
      </c>
      <c r="E180" s="15"/>
      <c r="X180" s="4"/>
      <c r="Y180" s="4"/>
    </row>
    <row r="181" spans="1:25" ht="15.75" x14ac:dyDescent="0.25">
      <c r="A181" s="12" t="s">
        <v>192</v>
      </c>
      <c r="B181" s="9">
        <f>SUM(C181:W181)</f>
        <v>132.5</v>
      </c>
      <c r="C181" s="9"/>
      <c r="D181" s="9">
        <v>50</v>
      </c>
      <c r="E181" s="10">
        <f>SUM(30+52.5)</f>
        <v>82.5</v>
      </c>
      <c r="X181" s="4"/>
      <c r="Y181" s="4"/>
    </row>
    <row r="182" spans="1:25" ht="15.75" x14ac:dyDescent="0.25">
      <c r="A182" s="12" t="s">
        <v>160</v>
      </c>
      <c r="B182" s="9">
        <f>SUM(C182:W182)</f>
        <v>131.6</v>
      </c>
      <c r="C182" s="9"/>
      <c r="D182" s="9">
        <v>0</v>
      </c>
      <c r="E182" s="10">
        <v>0</v>
      </c>
      <c r="F182" s="3">
        <v>0</v>
      </c>
      <c r="G182" s="3">
        <f>SUM(31+49.6+51)</f>
        <v>131.6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x14ac:dyDescent="0.25">
      <c r="A183" s="12" t="s">
        <v>161</v>
      </c>
      <c r="B183" s="9">
        <f>SUM(C183:W183)</f>
        <v>131.5</v>
      </c>
      <c r="C183" s="9"/>
      <c r="D183" s="9">
        <v>0</v>
      </c>
      <c r="E183" s="10">
        <v>0</v>
      </c>
      <c r="F183" s="3">
        <f>SUM(40.5)</f>
        <v>40.5</v>
      </c>
      <c r="G183" s="3">
        <f>SUM(34+57)</f>
        <v>91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x14ac:dyDescent="0.25">
      <c r="A184" s="12" t="s">
        <v>162</v>
      </c>
      <c r="B184" s="9">
        <f>SUM(C184:W184)</f>
        <v>131</v>
      </c>
      <c r="C184" s="9"/>
      <c r="D184" s="9">
        <v>0</v>
      </c>
      <c r="E184" s="10">
        <v>0</v>
      </c>
      <c r="F184" s="3">
        <f>SUM(31+50+50)</f>
        <v>131</v>
      </c>
      <c r="X184" s="4"/>
      <c r="Y184" s="4"/>
    </row>
    <row r="185" spans="1:25" ht="15.75" x14ac:dyDescent="0.25">
      <c r="A185" s="12" t="s">
        <v>163</v>
      </c>
      <c r="B185" s="9">
        <f>SUM(C185:W185)</f>
        <v>130</v>
      </c>
      <c r="C185" s="9"/>
      <c r="D185" s="9">
        <v>0</v>
      </c>
      <c r="E185" s="10">
        <v>0</v>
      </c>
      <c r="F185" s="3">
        <f>SUM(30+50+50)</f>
        <v>130</v>
      </c>
      <c r="X185" s="4"/>
      <c r="Y185" s="4"/>
    </row>
    <row r="186" spans="1:25" ht="15.75" x14ac:dyDescent="0.25">
      <c r="A186" s="12" t="s">
        <v>164</v>
      </c>
      <c r="B186" s="9">
        <f>SUM(C186:W186)</f>
        <v>130</v>
      </c>
      <c r="C186" s="9"/>
      <c r="D186" s="9">
        <v>0</v>
      </c>
      <c r="E186" s="10">
        <v>0</v>
      </c>
      <c r="F186" s="3">
        <f>SUM(30+50+50)</f>
        <v>130</v>
      </c>
      <c r="X186" s="4"/>
      <c r="Y186" s="4"/>
    </row>
    <row r="187" spans="1:25" ht="15.75" x14ac:dyDescent="0.25">
      <c r="A187" s="12" t="s">
        <v>166</v>
      </c>
      <c r="B187" s="9">
        <f>SUM(C187:W187)</f>
        <v>128.6</v>
      </c>
      <c r="C187" s="9"/>
      <c r="D187" s="9">
        <v>0</v>
      </c>
      <c r="E187" s="10">
        <v>0</v>
      </c>
      <c r="F187" s="3">
        <v>0</v>
      </c>
      <c r="G187" s="3">
        <f>SUM(30.6+48.4+49.6)</f>
        <v>128.6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x14ac:dyDescent="0.25">
      <c r="A188" s="12" t="s">
        <v>168</v>
      </c>
      <c r="B188" s="9">
        <f>SUM(C188:W188)</f>
        <v>121</v>
      </c>
      <c r="C188" s="9"/>
      <c r="D188" s="9">
        <v>0</v>
      </c>
      <c r="E188" s="10">
        <v>0</v>
      </c>
      <c r="F188" s="3">
        <v>0</v>
      </c>
      <c r="G188" s="4"/>
      <c r="H188" s="4"/>
      <c r="I188" s="4"/>
      <c r="J188" s="4"/>
      <c r="K188" s="4"/>
      <c r="L188" s="4"/>
      <c r="M188" s="3">
        <v>32</v>
      </c>
      <c r="N188" s="3">
        <v>89</v>
      </c>
      <c r="O188" s="4"/>
      <c r="P188" s="3"/>
      <c r="Q188" s="3"/>
      <c r="R188" s="4"/>
      <c r="S188" s="4"/>
      <c r="T188" s="4"/>
      <c r="U188" s="4"/>
      <c r="V188" s="4"/>
      <c r="W188" s="4"/>
      <c r="X188" s="4"/>
      <c r="Y188" s="4"/>
    </row>
    <row r="189" spans="1:25" ht="15.75" x14ac:dyDescent="0.25">
      <c r="A189" s="12" t="s">
        <v>321</v>
      </c>
      <c r="B189" s="9">
        <f>SUM(C189:W189)</f>
        <v>120</v>
      </c>
      <c r="C189" s="9"/>
      <c r="D189" s="17">
        <f>34+31+55</f>
        <v>120</v>
      </c>
      <c r="E189" s="10"/>
      <c r="X189" s="4"/>
      <c r="Y189" s="4"/>
    </row>
    <row r="190" spans="1:25" ht="15.75" x14ac:dyDescent="0.25">
      <c r="A190" s="12" t="s">
        <v>274</v>
      </c>
      <c r="B190" s="9">
        <f>SUM(C190:W190)</f>
        <v>120</v>
      </c>
      <c r="C190" s="9">
        <v>56</v>
      </c>
      <c r="D190" s="9">
        <v>32</v>
      </c>
      <c r="E190" s="10">
        <v>0</v>
      </c>
      <c r="F190" s="3">
        <f>SUM(32)</f>
        <v>32</v>
      </c>
      <c r="X190" s="4"/>
      <c r="Y190" s="4"/>
    </row>
    <row r="191" spans="1:25" ht="15.75" x14ac:dyDescent="0.25">
      <c r="A191" s="12" t="s">
        <v>297</v>
      </c>
      <c r="B191" s="9">
        <f>SUM(C191:W191)</f>
        <v>112.1</v>
      </c>
      <c r="C191" s="9"/>
      <c r="D191" s="9">
        <f>31.6+50</f>
        <v>81.599999999999994</v>
      </c>
      <c r="E191" s="10">
        <f>SUM(30.5)</f>
        <v>30.5</v>
      </c>
      <c r="X191" s="4"/>
      <c r="Y191" s="4"/>
    </row>
    <row r="192" spans="1:25" ht="15.75" x14ac:dyDescent="0.25">
      <c r="A192" s="12" t="s">
        <v>169</v>
      </c>
      <c r="B192" s="9">
        <f>SUM(C192:W192)</f>
        <v>112</v>
      </c>
      <c r="C192" s="9"/>
      <c r="D192" s="9">
        <v>0</v>
      </c>
      <c r="E192" s="10">
        <v>0</v>
      </c>
      <c r="F192" s="3">
        <v>0</v>
      </c>
      <c r="G192" s="4"/>
      <c r="H192" s="4"/>
      <c r="I192" s="3">
        <v>30</v>
      </c>
      <c r="J192" s="4"/>
      <c r="K192" s="3">
        <v>82</v>
      </c>
      <c r="L192" s="4"/>
      <c r="M192" s="4"/>
      <c r="N192" s="4"/>
      <c r="O192" s="4"/>
      <c r="P192" s="3"/>
      <c r="Q192" s="3"/>
      <c r="R192" s="4"/>
      <c r="S192" s="4"/>
      <c r="T192" s="4"/>
      <c r="U192" s="4"/>
      <c r="V192" s="4"/>
      <c r="W192" s="4"/>
      <c r="X192" s="4"/>
      <c r="Y192" s="4"/>
    </row>
    <row r="193" spans="1:25" ht="15.75" x14ac:dyDescent="0.25">
      <c r="A193" s="12" t="s">
        <v>170</v>
      </c>
      <c r="B193" s="9">
        <f>SUM(C193:W193)</f>
        <v>103.6</v>
      </c>
      <c r="C193" s="9"/>
      <c r="D193" s="9">
        <v>0</v>
      </c>
      <c r="E193" s="10">
        <v>0</v>
      </c>
      <c r="F193" s="3">
        <v>0</v>
      </c>
      <c r="G193" s="3">
        <f>SUM(30+31.6+42)</f>
        <v>103.6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x14ac:dyDescent="0.25">
      <c r="A194" s="12" t="s">
        <v>171</v>
      </c>
      <c r="B194" s="9">
        <f>SUM(C194:W194)</f>
        <v>100</v>
      </c>
      <c r="C194" s="9"/>
      <c r="D194" s="9">
        <v>0</v>
      </c>
      <c r="E194" s="10">
        <v>0</v>
      </c>
      <c r="F194" s="3">
        <v>0</v>
      </c>
      <c r="G194" s="4"/>
      <c r="H194" s="4"/>
      <c r="I194" s="4"/>
      <c r="J194" s="3">
        <v>56</v>
      </c>
      <c r="K194" s="4"/>
      <c r="L194" s="3">
        <v>44</v>
      </c>
      <c r="M194" s="4"/>
      <c r="N194" s="4"/>
      <c r="O194" s="4"/>
      <c r="P194" s="3"/>
      <c r="Q194" s="3"/>
      <c r="R194" s="4"/>
      <c r="S194" s="4"/>
      <c r="T194" s="4"/>
      <c r="U194" s="4"/>
      <c r="V194" s="4"/>
      <c r="W194" s="4"/>
      <c r="X194" s="4"/>
      <c r="Y194" s="4"/>
    </row>
    <row r="195" spans="1:25" ht="15.75" x14ac:dyDescent="0.25">
      <c r="A195" s="12" t="s">
        <v>211</v>
      </c>
      <c r="B195" s="9">
        <f>SUM(C195:W195)</f>
        <v>99</v>
      </c>
      <c r="C195" s="9">
        <v>32</v>
      </c>
      <c r="D195" s="9">
        <v>0</v>
      </c>
      <c r="E195" s="10">
        <f>SUM(35)</f>
        <v>35</v>
      </c>
      <c r="F195" s="3">
        <f>SUM(32)</f>
        <v>32</v>
      </c>
      <c r="X195" s="4"/>
      <c r="Y195" s="4"/>
    </row>
    <row r="196" spans="1:25" ht="15.75" x14ac:dyDescent="0.25">
      <c r="A196" s="12" t="s">
        <v>335</v>
      </c>
      <c r="B196" s="9">
        <f>SUM(C196:W196)</f>
        <v>99</v>
      </c>
      <c r="C196" s="9">
        <v>32</v>
      </c>
      <c r="D196" s="17">
        <f>31+36</f>
        <v>67</v>
      </c>
      <c r="E196" s="15"/>
      <c r="X196" s="4"/>
      <c r="Y196" s="4"/>
    </row>
    <row r="197" spans="1:25" ht="15.75" x14ac:dyDescent="0.25">
      <c r="A197" s="20" t="s">
        <v>351</v>
      </c>
      <c r="B197" s="9">
        <f>SUM(C197:W197)</f>
        <v>99</v>
      </c>
      <c r="C197" s="19">
        <f>33+30+36</f>
        <v>99</v>
      </c>
      <c r="X197" s="4"/>
      <c r="Y197" s="4"/>
    </row>
    <row r="198" spans="1:25" ht="15.75" x14ac:dyDescent="0.25">
      <c r="A198" s="12" t="s">
        <v>172</v>
      </c>
      <c r="B198" s="9">
        <f>SUM(C198:W198)</f>
        <v>98.5</v>
      </c>
      <c r="C198" s="9"/>
      <c r="D198" s="9">
        <v>0</v>
      </c>
      <c r="E198" s="10">
        <v>0</v>
      </c>
      <c r="F198" s="3">
        <v>0</v>
      </c>
      <c r="G198" s="4"/>
      <c r="H198" s="4"/>
      <c r="I198" s="4"/>
      <c r="J198" s="4"/>
      <c r="K198" s="3">
        <v>98.5</v>
      </c>
      <c r="L198" s="4"/>
      <c r="M198" s="4"/>
      <c r="N198" s="4"/>
      <c r="O198" s="4"/>
      <c r="P198" s="3"/>
      <c r="Q198" s="3"/>
      <c r="R198" s="4"/>
      <c r="S198" s="4"/>
      <c r="T198" s="4"/>
      <c r="U198" s="4"/>
      <c r="V198" s="4"/>
      <c r="W198" s="4"/>
      <c r="X198" s="4"/>
      <c r="Y198" s="4"/>
    </row>
    <row r="199" spans="1:25" ht="15.75" x14ac:dyDescent="0.25">
      <c r="A199" s="12" t="s">
        <v>173</v>
      </c>
      <c r="B199" s="9">
        <f>SUM(C199:W199)</f>
        <v>98</v>
      </c>
      <c r="C199" s="9"/>
      <c r="D199" s="9">
        <v>0</v>
      </c>
      <c r="E199" s="10">
        <v>0</v>
      </c>
      <c r="F199" s="3">
        <v>0</v>
      </c>
      <c r="G199" s="4"/>
      <c r="H199" s="4"/>
      <c r="I199" s="4"/>
      <c r="J199" s="4"/>
      <c r="K199" s="4"/>
      <c r="L199" s="4"/>
      <c r="M199" s="3">
        <v>98</v>
      </c>
      <c r="N199" s="4"/>
      <c r="O199" s="4"/>
      <c r="P199" s="3"/>
      <c r="Q199" s="3"/>
      <c r="R199" s="4"/>
      <c r="S199" s="4"/>
      <c r="T199" s="4"/>
      <c r="U199" s="4"/>
      <c r="V199" s="4"/>
      <c r="W199" s="4"/>
      <c r="X199" s="4"/>
      <c r="Y199" s="4"/>
    </row>
    <row r="200" spans="1:25" ht="15.75" x14ac:dyDescent="0.25">
      <c r="A200" s="12" t="s">
        <v>174</v>
      </c>
      <c r="B200" s="9">
        <f>SUM(C200:W200)</f>
        <v>98</v>
      </c>
      <c r="C200" s="9"/>
      <c r="D200" s="9">
        <v>0</v>
      </c>
      <c r="E200" s="10">
        <f>SUM(30)</f>
        <v>30</v>
      </c>
      <c r="F200" s="3">
        <v>0</v>
      </c>
      <c r="G200" s="3">
        <f>SUM(34+34)</f>
        <v>68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x14ac:dyDescent="0.25">
      <c r="A201" s="12" t="s">
        <v>175</v>
      </c>
      <c r="B201" s="9">
        <f>SUM(C201:W201)</f>
        <v>95.6</v>
      </c>
      <c r="C201" s="9"/>
      <c r="D201" s="9">
        <v>0</v>
      </c>
      <c r="E201" s="10">
        <v>0</v>
      </c>
      <c r="F201" s="3">
        <f>SUM(32)</f>
        <v>32</v>
      </c>
      <c r="G201" s="3">
        <f>SUM(31.6)</f>
        <v>31.6</v>
      </c>
      <c r="H201" s="3">
        <v>32</v>
      </c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x14ac:dyDescent="0.25">
      <c r="A202" s="12" t="s">
        <v>309</v>
      </c>
      <c r="B202" s="9">
        <f>SUM(C202:W202)</f>
        <v>95</v>
      </c>
      <c r="C202" s="9"/>
      <c r="D202" s="9">
        <f>34+31</f>
        <v>65</v>
      </c>
      <c r="E202" s="10">
        <f>SUM(30)</f>
        <v>30</v>
      </c>
      <c r="X202" s="4"/>
      <c r="Y202" s="4"/>
    </row>
    <row r="203" spans="1:25" ht="15.75" x14ac:dyDescent="0.25">
      <c r="A203" s="12" t="s">
        <v>176</v>
      </c>
      <c r="B203" s="9">
        <f>SUM(C203:W203)</f>
        <v>94</v>
      </c>
      <c r="C203" s="9"/>
      <c r="D203" s="9">
        <v>0</v>
      </c>
      <c r="E203" s="10">
        <v>0</v>
      </c>
      <c r="F203" s="3">
        <v>0</v>
      </c>
      <c r="G203" s="4"/>
      <c r="H203" s="4"/>
      <c r="I203" s="4"/>
      <c r="J203" s="4"/>
      <c r="K203" s="4"/>
      <c r="L203" s="3">
        <v>94</v>
      </c>
      <c r="M203" s="4"/>
      <c r="N203" s="4"/>
      <c r="O203" s="4"/>
      <c r="P203" s="3"/>
      <c r="Q203" s="3"/>
      <c r="R203" s="4"/>
      <c r="S203" s="4"/>
      <c r="T203" s="4"/>
      <c r="U203" s="4"/>
      <c r="V203" s="4"/>
      <c r="W203" s="4"/>
      <c r="X203" s="2"/>
      <c r="Y203" s="2"/>
    </row>
    <row r="204" spans="1:25" ht="15.75" x14ac:dyDescent="0.25">
      <c r="A204" s="12" t="s">
        <v>220</v>
      </c>
      <c r="B204" s="9">
        <f>SUM(C204:W204)</f>
        <v>93</v>
      </c>
      <c r="C204" s="9"/>
      <c r="D204" s="9">
        <v>31</v>
      </c>
      <c r="E204" s="10">
        <f>SUM(30)</f>
        <v>30</v>
      </c>
      <c r="F204" s="3">
        <f>SUM(32)</f>
        <v>32</v>
      </c>
    </row>
    <row r="205" spans="1:25" ht="15.75" x14ac:dyDescent="0.25">
      <c r="A205" s="12" t="s">
        <v>177</v>
      </c>
      <c r="B205" s="9">
        <f>SUM(C205:W205)</f>
        <v>92.5</v>
      </c>
      <c r="C205" s="9"/>
      <c r="D205" s="9">
        <v>0</v>
      </c>
      <c r="E205" s="10">
        <v>0</v>
      </c>
      <c r="F205" s="3">
        <v>0</v>
      </c>
      <c r="G205" s="4"/>
      <c r="H205" s="4"/>
      <c r="I205" s="4"/>
      <c r="J205" s="4"/>
      <c r="K205" s="4"/>
      <c r="L205" s="3">
        <v>92.5</v>
      </c>
      <c r="M205" s="4"/>
      <c r="N205" s="4"/>
      <c r="O205" s="4"/>
      <c r="P205" s="3"/>
      <c r="Q205" s="3"/>
      <c r="R205" s="4"/>
      <c r="S205" s="4"/>
      <c r="T205" s="4"/>
      <c r="U205" s="4"/>
      <c r="V205" s="4"/>
      <c r="W205" s="4"/>
    </row>
    <row r="206" spans="1:25" ht="15.75" x14ac:dyDescent="0.25">
      <c r="A206" s="12" t="s">
        <v>222</v>
      </c>
      <c r="B206" s="9">
        <f>SUM(C206:W206)</f>
        <v>92</v>
      </c>
      <c r="C206" s="9"/>
      <c r="D206" s="9">
        <v>32</v>
      </c>
      <c r="E206" s="10">
        <f>SUM(30)</f>
        <v>30</v>
      </c>
      <c r="F206" s="3">
        <f>SUM(30)</f>
        <v>30</v>
      </c>
    </row>
    <row r="207" spans="1:25" ht="15.75" x14ac:dyDescent="0.25">
      <c r="A207" s="12" t="s">
        <v>178</v>
      </c>
      <c r="B207" s="9">
        <f>SUM(C207:W207)</f>
        <v>89.5</v>
      </c>
      <c r="C207" s="9"/>
      <c r="D207" s="9">
        <v>0</v>
      </c>
      <c r="E207" s="10">
        <v>0</v>
      </c>
      <c r="F207" s="3">
        <f>SUM(34+55.5)</f>
        <v>89.5</v>
      </c>
    </row>
    <row r="208" spans="1:25" ht="15.75" x14ac:dyDescent="0.25">
      <c r="A208" s="16" t="s">
        <v>179</v>
      </c>
      <c r="B208" s="9">
        <f>SUM(C208:W208)</f>
        <v>89.1</v>
      </c>
      <c r="C208" s="9"/>
      <c r="D208" s="9">
        <v>0</v>
      </c>
      <c r="E208" s="10">
        <v>0</v>
      </c>
      <c r="F208" s="3">
        <f>SUM(33.6+55.5)</f>
        <v>89.1</v>
      </c>
    </row>
    <row r="209" spans="1:23" ht="15.75" x14ac:dyDescent="0.25">
      <c r="A209" s="12" t="s">
        <v>180</v>
      </c>
      <c r="B209" s="9">
        <f>SUM(C209:W209)</f>
        <v>89</v>
      </c>
      <c r="C209" s="9"/>
      <c r="D209" s="9">
        <v>0</v>
      </c>
      <c r="E209" s="10">
        <v>0</v>
      </c>
      <c r="F209" s="3">
        <v>0</v>
      </c>
      <c r="G209" s="4"/>
      <c r="H209" s="4"/>
      <c r="I209" s="4"/>
      <c r="J209" s="4"/>
      <c r="K209" s="4"/>
      <c r="L209" s="4"/>
      <c r="M209" s="4"/>
      <c r="N209" s="3">
        <v>55</v>
      </c>
      <c r="O209" s="3">
        <v>34</v>
      </c>
      <c r="P209" s="3"/>
      <c r="Q209" s="3"/>
      <c r="R209" s="4"/>
      <c r="S209" s="4"/>
      <c r="T209" s="4"/>
      <c r="U209" s="4"/>
      <c r="V209" s="4"/>
      <c r="W209" s="4"/>
    </row>
    <row r="210" spans="1:23" ht="15.75" x14ac:dyDescent="0.25">
      <c r="A210" s="12" t="s">
        <v>181</v>
      </c>
      <c r="B210" s="9">
        <f>SUM(C210:W210)</f>
        <v>89</v>
      </c>
      <c r="C210" s="9"/>
      <c r="D210" s="9">
        <v>0</v>
      </c>
      <c r="E210" s="10">
        <v>0</v>
      </c>
      <c r="F210" s="3">
        <v>0</v>
      </c>
      <c r="G210" s="4"/>
      <c r="H210" s="4"/>
      <c r="I210" s="4"/>
      <c r="J210" s="4"/>
      <c r="K210" s="4"/>
      <c r="L210" s="4"/>
      <c r="M210" s="4"/>
      <c r="N210" s="4"/>
      <c r="O210" s="3">
        <v>89</v>
      </c>
      <c r="P210" s="3"/>
      <c r="Q210" s="3"/>
      <c r="R210" s="4"/>
      <c r="S210" s="4"/>
      <c r="T210" s="4"/>
      <c r="U210" s="4"/>
      <c r="V210" s="4"/>
      <c r="W210" s="4"/>
    </row>
    <row r="211" spans="1:23" ht="15.75" x14ac:dyDescent="0.25">
      <c r="A211" s="12" t="s">
        <v>323</v>
      </c>
      <c r="B211" s="9">
        <f>SUM(C211:W211)</f>
        <v>89</v>
      </c>
      <c r="C211" s="9"/>
      <c r="D211" s="17">
        <f>34+55</f>
        <v>89</v>
      </c>
      <c r="E211" s="10"/>
    </row>
    <row r="212" spans="1:23" ht="15.75" x14ac:dyDescent="0.25">
      <c r="A212" s="12" t="s">
        <v>182</v>
      </c>
      <c r="B212" s="9">
        <f>SUM(C212:W212)</f>
        <v>88.6</v>
      </c>
      <c r="C212" s="9"/>
      <c r="D212" s="9">
        <v>0</v>
      </c>
      <c r="E212" s="10">
        <v>0</v>
      </c>
      <c r="F212" s="3">
        <v>0</v>
      </c>
      <c r="G212" s="3">
        <f>SUM(31.6+57)</f>
        <v>88.6</v>
      </c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x14ac:dyDescent="0.25">
      <c r="A213" s="12" t="s">
        <v>340</v>
      </c>
      <c r="B213" s="9">
        <f>SUM(C213:W213)</f>
        <v>88</v>
      </c>
      <c r="C213" s="9">
        <v>56</v>
      </c>
      <c r="D213" s="17">
        <v>32</v>
      </c>
      <c r="E213" s="15"/>
    </row>
    <row r="214" spans="1:23" ht="15.75" x14ac:dyDescent="0.25">
      <c r="A214" s="12" t="s">
        <v>345</v>
      </c>
      <c r="B214" s="9">
        <f>SUM(C214:W214)</f>
        <v>88</v>
      </c>
      <c r="C214" s="9">
        <v>56</v>
      </c>
      <c r="D214" s="17">
        <v>32</v>
      </c>
      <c r="E214" s="15"/>
    </row>
    <row r="215" spans="1:23" ht="15.75" x14ac:dyDescent="0.25">
      <c r="A215" s="20" t="s">
        <v>353</v>
      </c>
      <c r="B215" s="9">
        <f>SUM(C215:W215)</f>
        <v>88</v>
      </c>
      <c r="C215" s="19">
        <f>32+56</f>
        <v>88</v>
      </c>
    </row>
    <row r="216" spans="1:23" ht="15.75" x14ac:dyDescent="0.25">
      <c r="A216" s="20" t="s">
        <v>356</v>
      </c>
      <c r="B216" s="9">
        <f>SUM(C216:W216)</f>
        <v>88</v>
      </c>
      <c r="C216" s="19">
        <f>32+56</f>
        <v>88</v>
      </c>
    </row>
    <row r="217" spans="1:23" ht="15.75" x14ac:dyDescent="0.25">
      <c r="A217" s="12" t="s">
        <v>313</v>
      </c>
      <c r="B217" s="9">
        <f>SUM(C217:W217)</f>
        <v>86</v>
      </c>
      <c r="C217" s="9"/>
      <c r="D217" s="9">
        <f>36+50</f>
        <v>86</v>
      </c>
      <c r="E217" s="10"/>
    </row>
    <row r="218" spans="1:23" ht="15.75" x14ac:dyDescent="0.25">
      <c r="A218" s="12" t="s">
        <v>294</v>
      </c>
      <c r="B218" s="9">
        <f>SUM(C218:W218)</f>
        <v>85.5</v>
      </c>
      <c r="C218" s="9"/>
      <c r="D218" s="9">
        <v>55</v>
      </c>
      <c r="E218" s="10">
        <f>SUM(30.5)</f>
        <v>30.5</v>
      </c>
    </row>
    <row r="219" spans="1:23" ht="15.75" x14ac:dyDescent="0.25">
      <c r="A219" s="12" t="s">
        <v>183</v>
      </c>
      <c r="B219" s="9">
        <f>SUM(C219:W219)</f>
        <v>85</v>
      </c>
      <c r="C219" s="9"/>
      <c r="D219" s="9">
        <v>0</v>
      </c>
      <c r="E219" s="10">
        <v>0</v>
      </c>
      <c r="F219" s="3">
        <v>0</v>
      </c>
      <c r="G219" s="3">
        <f>SUM(53)</f>
        <v>53</v>
      </c>
      <c r="H219" s="3">
        <f>SUM(32)</f>
        <v>32</v>
      </c>
      <c r="I219" s="4"/>
      <c r="J219" s="4"/>
      <c r="K219" s="4"/>
      <c r="L219" s="4"/>
      <c r="M219" s="4"/>
      <c r="N219" s="4"/>
      <c r="O219" s="4"/>
      <c r="P219" s="3"/>
      <c r="Q219" s="3"/>
      <c r="R219" s="4"/>
      <c r="S219" s="4"/>
      <c r="T219" s="4"/>
      <c r="U219" s="4"/>
      <c r="V219" s="4"/>
      <c r="W219" s="4"/>
    </row>
    <row r="220" spans="1:23" ht="15.75" x14ac:dyDescent="0.25">
      <c r="A220" s="12" t="s">
        <v>184</v>
      </c>
      <c r="B220" s="9">
        <f>SUM(C220:W220)</f>
        <v>85</v>
      </c>
      <c r="C220" s="9"/>
      <c r="D220" s="9">
        <v>0</v>
      </c>
      <c r="E220" s="10">
        <v>0</v>
      </c>
      <c r="F220" s="3">
        <v>0</v>
      </c>
      <c r="G220" s="4"/>
      <c r="H220" s="4"/>
      <c r="I220" s="4"/>
      <c r="J220" s="4"/>
      <c r="K220" s="4"/>
      <c r="L220" s="4"/>
      <c r="M220" s="4"/>
      <c r="N220" s="4"/>
      <c r="O220" s="3">
        <v>85</v>
      </c>
      <c r="P220" s="3"/>
      <c r="Q220" s="3"/>
      <c r="R220" s="4"/>
      <c r="S220" s="4"/>
      <c r="T220" s="4"/>
      <c r="U220" s="4"/>
      <c r="V220" s="4"/>
      <c r="W220" s="4"/>
    </row>
    <row r="221" spans="1:23" ht="15.75" x14ac:dyDescent="0.25">
      <c r="A221" s="12" t="s">
        <v>185</v>
      </c>
      <c r="B221" s="9">
        <f>SUM(C221:W221)</f>
        <v>85</v>
      </c>
      <c r="C221" s="9"/>
      <c r="D221" s="9">
        <v>0</v>
      </c>
      <c r="E221" s="10">
        <f>SUM(55)</f>
        <v>55</v>
      </c>
      <c r="F221" s="3">
        <f>SUM(30)</f>
        <v>30</v>
      </c>
    </row>
    <row r="222" spans="1:23" ht="15.75" x14ac:dyDescent="0.25">
      <c r="A222" s="12" t="s">
        <v>293</v>
      </c>
      <c r="B222" s="9">
        <f>SUM(C222:W222)</f>
        <v>84.5</v>
      </c>
      <c r="C222" s="9"/>
      <c r="D222" s="9">
        <v>54</v>
      </c>
      <c r="E222" s="10">
        <f>SUM(30.5)</f>
        <v>30.5</v>
      </c>
    </row>
    <row r="223" spans="1:23" ht="15.75" x14ac:dyDescent="0.25">
      <c r="A223" s="12" t="s">
        <v>188</v>
      </c>
      <c r="B223" s="9">
        <f>SUM(C223:W223)</f>
        <v>84</v>
      </c>
      <c r="C223" s="9"/>
      <c r="D223" s="9">
        <v>0</v>
      </c>
      <c r="E223" s="10">
        <f>SUM(34+50)</f>
        <v>84</v>
      </c>
    </row>
    <row r="224" spans="1:23" ht="15.75" x14ac:dyDescent="0.25">
      <c r="A224" s="12" t="s">
        <v>319</v>
      </c>
      <c r="B224" s="9">
        <f>SUM(C224:W224)</f>
        <v>84</v>
      </c>
      <c r="C224" s="9"/>
      <c r="D224" s="9">
        <f>34+50</f>
        <v>84</v>
      </c>
      <c r="E224" s="10"/>
    </row>
    <row r="225" spans="1:23" ht="15.75" x14ac:dyDescent="0.25">
      <c r="A225" s="12" t="s">
        <v>189</v>
      </c>
      <c r="B225" s="9">
        <f>SUM(C225:W225)</f>
        <v>83</v>
      </c>
      <c r="C225" s="9"/>
      <c r="D225" s="9">
        <v>0</v>
      </c>
      <c r="E225" s="10">
        <v>0</v>
      </c>
      <c r="F225" s="3">
        <v>0</v>
      </c>
      <c r="G225" s="4"/>
      <c r="H225" s="3">
        <f>SUM(30+53)</f>
        <v>83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5.75" x14ac:dyDescent="0.25">
      <c r="A226" s="12" t="s">
        <v>190</v>
      </c>
      <c r="B226" s="9">
        <f>SUM(C226:W226)</f>
        <v>83</v>
      </c>
      <c r="C226" s="9"/>
      <c r="D226" s="9">
        <v>0</v>
      </c>
      <c r="E226" s="10">
        <v>0</v>
      </c>
      <c r="F226" s="3">
        <v>0</v>
      </c>
      <c r="G226" s="4"/>
      <c r="H226" s="4"/>
      <c r="I226" s="4"/>
      <c r="J226" s="4"/>
      <c r="K226" s="4"/>
      <c r="L226" s="3">
        <v>44</v>
      </c>
      <c r="M226" s="3">
        <v>39</v>
      </c>
      <c r="N226" s="4"/>
      <c r="O226" s="4"/>
      <c r="P226" s="3"/>
      <c r="Q226" s="3"/>
      <c r="R226" s="4"/>
      <c r="S226" s="4"/>
      <c r="T226" s="4"/>
      <c r="U226" s="4"/>
      <c r="V226" s="4"/>
      <c r="W226" s="4"/>
    </row>
    <row r="227" spans="1:23" ht="15.75" x14ac:dyDescent="0.25">
      <c r="A227" s="12" t="s">
        <v>191</v>
      </c>
      <c r="B227" s="9">
        <f>SUM(C227:W227)</f>
        <v>83</v>
      </c>
      <c r="C227" s="9"/>
      <c r="D227" s="9">
        <v>0</v>
      </c>
      <c r="E227" s="10">
        <f>SUM(50)</f>
        <v>50</v>
      </c>
      <c r="F227" s="3">
        <v>0</v>
      </c>
      <c r="G227" s="3">
        <f>SUM(33)</f>
        <v>33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5.75" x14ac:dyDescent="0.25">
      <c r="A228" s="12" t="s">
        <v>193</v>
      </c>
      <c r="B228" s="9">
        <f>SUM(C228:W228)</f>
        <v>82.5</v>
      </c>
      <c r="C228" s="9"/>
      <c r="D228" s="9">
        <v>0</v>
      </c>
      <c r="E228" s="10">
        <f>SUM(30+52.5)</f>
        <v>82.5</v>
      </c>
    </row>
    <row r="229" spans="1:23" ht="15.75" x14ac:dyDescent="0.25">
      <c r="A229" s="12" t="s">
        <v>195</v>
      </c>
      <c r="B229" s="9">
        <f>SUM(C229:W229)</f>
        <v>82</v>
      </c>
      <c r="C229" s="9"/>
      <c r="D229" s="9">
        <v>0</v>
      </c>
      <c r="E229" s="10">
        <v>0</v>
      </c>
      <c r="F229" s="3">
        <v>0</v>
      </c>
      <c r="G229" s="3">
        <f>SUM(31+51)</f>
        <v>82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5.75" x14ac:dyDescent="0.25">
      <c r="A230" s="12" t="s">
        <v>196</v>
      </c>
      <c r="B230" s="9">
        <f>SUM(C230:W230)</f>
        <v>82</v>
      </c>
      <c r="C230" s="9"/>
      <c r="D230" s="9">
        <v>0</v>
      </c>
      <c r="E230" s="10">
        <f>SUM(50)</f>
        <v>50</v>
      </c>
      <c r="F230" s="3">
        <f>SUM(32)</f>
        <v>32</v>
      </c>
    </row>
    <row r="231" spans="1:23" ht="15.75" x14ac:dyDescent="0.25">
      <c r="A231" s="12" t="s">
        <v>320</v>
      </c>
      <c r="B231" s="9">
        <f>SUM(C231:W231)</f>
        <v>82</v>
      </c>
      <c r="C231" s="9"/>
      <c r="D231" s="9">
        <f>34+48</f>
        <v>82</v>
      </c>
      <c r="E231" s="10"/>
    </row>
    <row r="232" spans="1:23" ht="15.75" x14ac:dyDescent="0.25">
      <c r="A232" s="12" t="s">
        <v>197</v>
      </c>
      <c r="B232" s="9">
        <f>SUM(C232:W232)</f>
        <v>81</v>
      </c>
      <c r="C232" s="9"/>
      <c r="D232" s="9">
        <v>0</v>
      </c>
      <c r="E232" s="10">
        <v>0</v>
      </c>
      <c r="F232" s="3">
        <v>0</v>
      </c>
      <c r="G232" s="4"/>
      <c r="H232" s="3">
        <f>SUM(39)</f>
        <v>39</v>
      </c>
      <c r="I232" s="3">
        <v>42</v>
      </c>
      <c r="J232" s="4"/>
      <c r="K232" s="4"/>
      <c r="L232" s="4"/>
      <c r="M232" s="4"/>
      <c r="N232" s="4"/>
      <c r="O232" s="4"/>
      <c r="P232" s="3"/>
      <c r="Q232" s="3"/>
      <c r="R232" s="4"/>
      <c r="S232" s="4"/>
      <c r="T232" s="4"/>
      <c r="U232" s="4"/>
      <c r="V232" s="4"/>
      <c r="W232" s="4"/>
    </row>
    <row r="233" spans="1:23" ht="15.75" x14ac:dyDescent="0.25">
      <c r="A233" s="12" t="s">
        <v>198</v>
      </c>
      <c r="B233" s="9">
        <f>SUM(C233:W233)</f>
        <v>80.599999999999994</v>
      </c>
      <c r="C233" s="9"/>
      <c r="D233" s="9">
        <v>0</v>
      </c>
      <c r="E233" s="10">
        <v>0</v>
      </c>
      <c r="F233" s="3">
        <v>0</v>
      </c>
      <c r="G233" s="3">
        <f>SUM(31+49.6)</f>
        <v>80.599999999999994</v>
      </c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5.75" x14ac:dyDescent="0.25">
      <c r="A234" s="12" t="s">
        <v>199</v>
      </c>
      <c r="B234" s="9">
        <f>SUM(C234:W234)</f>
        <v>80</v>
      </c>
      <c r="C234" s="9"/>
      <c r="D234" s="9">
        <v>0</v>
      </c>
      <c r="E234" s="10">
        <v>0</v>
      </c>
      <c r="F234" s="3">
        <f>SUM(46)</f>
        <v>46</v>
      </c>
      <c r="G234" s="4"/>
      <c r="H234" s="3">
        <f>SUM(34)</f>
        <v>34</v>
      </c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5.75" x14ac:dyDescent="0.25">
      <c r="A235" s="12" t="s">
        <v>232</v>
      </c>
      <c r="B235" s="9">
        <f>SUM(C235:W235)</f>
        <v>78</v>
      </c>
      <c r="C235" s="9"/>
      <c r="D235" s="9">
        <v>36</v>
      </c>
      <c r="E235" s="10">
        <v>0</v>
      </c>
      <c r="F235" s="3">
        <v>0</v>
      </c>
      <c r="G235" s="4"/>
      <c r="H235" s="4"/>
      <c r="I235" s="4"/>
      <c r="J235" s="3">
        <v>42</v>
      </c>
      <c r="K235" s="4"/>
      <c r="L235" s="4"/>
      <c r="M235" s="4"/>
      <c r="N235" s="4"/>
      <c r="O235" s="4"/>
      <c r="P235" s="3"/>
      <c r="Q235" s="3"/>
      <c r="R235" s="4"/>
      <c r="S235" s="4"/>
      <c r="T235" s="4"/>
      <c r="U235" s="4"/>
      <c r="V235" s="4"/>
      <c r="W235" s="4"/>
    </row>
    <row r="236" spans="1:23" ht="15.75" x14ac:dyDescent="0.25">
      <c r="A236" s="12" t="s">
        <v>200</v>
      </c>
      <c r="B236" s="9">
        <f>SUM(C236:W236)</f>
        <v>77.599999999999994</v>
      </c>
      <c r="C236" s="9"/>
      <c r="D236" s="9">
        <v>0</v>
      </c>
      <c r="E236" s="10">
        <v>0</v>
      </c>
      <c r="F236" s="3">
        <f>SUM(33.6+44)</f>
        <v>77.599999999999994</v>
      </c>
    </row>
    <row r="237" spans="1:23" ht="15.75" x14ac:dyDescent="0.25">
      <c r="A237" s="16" t="s">
        <v>201</v>
      </c>
      <c r="B237" s="9">
        <f>SUM(C237:W237)</f>
        <v>77.5</v>
      </c>
      <c r="C237" s="9"/>
      <c r="D237" s="9">
        <v>0</v>
      </c>
      <c r="E237" s="10">
        <v>0</v>
      </c>
      <c r="F237" s="3">
        <v>0</v>
      </c>
      <c r="G237" s="4"/>
      <c r="H237" s="3">
        <f>SUM(39+38.5)</f>
        <v>77.5</v>
      </c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5.75" x14ac:dyDescent="0.25">
      <c r="A238" s="12" t="s">
        <v>202</v>
      </c>
      <c r="B238" s="9">
        <f>SUM(C238:W238)</f>
        <v>77</v>
      </c>
      <c r="C238" s="9"/>
      <c r="D238" s="9">
        <v>0</v>
      </c>
      <c r="E238" s="10">
        <v>0</v>
      </c>
      <c r="F238" s="3">
        <v>0</v>
      </c>
      <c r="G238" s="4"/>
      <c r="H238" s="4"/>
      <c r="I238" s="4"/>
      <c r="J238" s="4"/>
      <c r="K238" s="4"/>
      <c r="L238" s="4"/>
      <c r="M238" s="4"/>
      <c r="N238" s="3">
        <v>77</v>
      </c>
      <c r="O238" s="4"/>
      <c r="P238" s="3"/>
      <c r="Q238" s="3"/>
      <c r="R238" s="4"/>
      <c r="S238" s="4"/>
      <c r="T238" s="4"/>
      <c r="U238" s="4"/>
      <c r="V238" s="4"/>
      <c r="W238" s="4"/>
    </row>
    <row r="239" spans="1:23" ht="15.75" x14ac:dyDescent="0.25">
      <c r="A239" s="12" t="s">
        <v>203</v>
      </c>
      <c r="B239" s="9">
        <f>SUM(C239:W239)</f>
        <v>76</v>
      </c>
      <c r="C239" s="9"/>
      <c r="D239" s="9">
        <v>0</v>
      </c>
      <c r="E239" s="10">
        <v>0</v>
      </c>
      <c r="F239" s="3">
        <f>SUM(34)</f>
        <v>34</v>
      </c>
      <c r="G239" s="4"/>
      <c r="H239" s="4"/>
      <c r="I239" s="3">
        <v>42</v>
      </c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5.75" x14ac:dyDescent="0.25">
      <c r="A240" s="12" t="s">
        <v>204</v>
      </c>
      <c r="B240" s="9">
        <f>SUM(C240:W240)</f>
        <v>76</v>
      </c>
      <c r="C240" s="9"/>
      <c r="D240" s="9">
        <v>0</v>
      </c>
      <c r="E240" s="10">
        <v>0</v>
      </c>
      <c r="F240" s="3">
        <v>0</v>
      </c>
      <c r="G240" s="4"/>
      <c r="H240" s="4"/>
      <c r="I240" s="4"/>
      <c r="J240" s="4"/>
      <c r="K240" s="4"/>
      <c r="L240" s="4"/>
      <c r="M240" s="4"/>
      <c r="N240" s="3">
        <v>38</v>
      </c>
      <c r="O240" s="3">
        <v>38</v>
      </c>
      <c r="P240" s="3"/>
      <c r="Q240" s="3"/>
      <c r="R240" s="4"/>
      <c r="S240" s="4"/>
      <c r="T240" s="4"/>
      <c r="U240" s="4"/>
      <c r="V240" s="4"/>
      <c r="W240" s="4"/>
    </row>
    <row r="241" spans="1:23" ht="15.75" x14ac:dyDescent="0.25">
      <c r="A241" s="12" t="s">
        <v>205</v>
      </c>
      <c r="B241" s="9">
        <f>SUM(C241:W241)</f>
        <v>73</v>
      </c>
      <c r="C241" s="9"/>
      <c r="D241" s="9">
        <v>0</v>
      </c>
      <c r="E241" s="10">
        <v>0</v>
      </c>
      <c r="F241" s="3">
        <f>SUM(32+41)</f>
        <v>73</v>
      </c>
    </row>
    <row r="242" spans="1:23" ht="15.75" x14ac:dyDescent="0.25">
      <c r="A242" s="12" t="s">
        <v>206</v>
      </c>
      <c r="B242" s="9">
        <f>SUM(C242:W242)</f>
        <v>73</v>
      </c>
      <c r="C242" s="9"/>
      <c r="D242" s="9">
        <v>0</v>
      </c>
      <c r="E242" s="10">
        <v>0</v>
      </c>
      <c r="F242" s="3">
        <v>0</v>
      </c>
      <c r="G242" s="4"/>
      <c r="H242" s="4"/>
      <c r="I242" s="4"/>
      <c r="J242" s="4"/>
      <c r="K242" s="4"/>
      <c r="L242" s="4"/>
      <c r="M242" s="4"/>
      <c r="N242" s="3">
        <v>73</v>
      </c>
      <c r="O242" s="4"/>
      <c r="P242" s="3"/>
      <c r="Q242" s="3"/>
      <c r="R242" s="4"/>
      <c r="S242" s="4"/>
      <c r="T242" s="4"/>
      <c r="U242" s="4"/>
      <c r="V242" s="4"/>
      <c r="W242" s="4"/>
    </row>
    <row r="243" spans="1:23" ht="15.75" x14ac:dyDescent="0.25">
      <c r="A243" s="12" t="s">
        <v>249</v>
      </c>
      <c r="B243" s="9">
        <f>SUM(C243:W243)</f>
        <v>72</v>
      </c>
      <c r="C243" s="9"/>
      <c r="D243" s="9">
        <v>35</v>
      </c>
      <c r="E243" s="10">
        <v>0</v>
      </c>
      <c r="F243" s="3">
        <v>0</v>
      </c>
      <c r="G243" s="4"/>
      <c r="H243" s="4"/>
      <c r="I243" s="4"/>
      <c r="J243" s="4"/>
      <c r="K243" s="4"/>
      <c r="L243" s="4"/>
      <c r="M243" s="3">
        <v>37</v>
      </c>
      <c r="N243" s="4"/>
      <c r="O243" s="4"/>
      <c r="P243" s="3"/>
      <c r="Q243" s="3"/>
      <c r="R243" s="4"/>
      <c r="S243" s="4"/>
      <c r="T243" s="4"/>
      <c r="U243" s="4"/>
      <c r="V243" s="4"/>
      <c r="W243" s="4"/>
    </row>
    <row r="244" spans="1:23" ht="15.75" x14ac:dyDescent="0.25">
      <c r="A244" s="12" t="s">
        <v>207</v>
      </c>
      <c r="B244" s="9">
        <f>SUM(C244:W244)</f>
        <v>70</v>
      </c>
      <c r="C244" s="9"/>
      <c r="D244" s="9">
        <v>0</v>
      </c>
      <c r="E244" s="10">
        <f>SUM(30+40)</f>
        <v>70</v>
      </c>
      <c r="F244" s="3"/>
    </row>
    <row r="245" spans="1:23" ht="15.75" x14ac:dyDescent="0.25">
      <c r="A245" s="12" t="s">
        <v>318</v>
      </c>
      <c r="B245" s="9">
        <f>SUM(C245:W245)</f>
        <v>70</v>
      </c>
      <c r="C245" s="9"/>
      <c r="D245" s="9">
        <f>38+32</f>
        <v>70</v>
      </c>
      <c r="E245" s="10"/>
    </row>
    <row r="246" spans="1:23" ht="15.75" x14ac:dyDescent="0.25">
      <c r="A246" s="12" t="s">
        <v>208</v>
      </c>
      <c r="B246" s="9">
        <f>SUM(C246:W246)</f>
        <v>69</v>
      </c>
      <c r="C246" s="9"/>
      <c r="D246" s="9">
        <v>0</v>
      </c>
      <c r="E246" s="10">
        <v>0</v>
      </c>
      <c r="F246" s="3">
        <v>0</v>
      </c>
      <c r="G246" s="4"/>
      <c r="H246" s="4"/>
      <c r="I246" s="4"/>
      <c r="J246" s="4"/>
      <c r="K246" s="4"/>
      <c r="L246" s="4"/>
      <c r="M246" s="4"/>
      <c r="N246" s="4"/>
      <c r="O246" s="3">
        <v>69</v>
      </c>
      <c r="P246" s="3"/>
      <c r="Q246" s="3"/>
      <c r="R246" s="4"/>
      <c r="S246" s="4"/>
      <c r="T246" s="4"/>
      <c r="U246" s="4"/>
      <c r="V246" s="4"/>
      <c r="W246" s="4"/>
    </row>
    <row r="247" spans="1:23" ht="15.75" x14ac:dyDescent="0.25">
      <c r="A247" s="12" t="s">
        <v>253</v>
      </c>
      <c r="B247" s="9">
        <f>SUM(C247:W247)</f>
        <v>69</v>
      </c>
      <c r="C247" s="9"/>
      <c r="D247" s="9">
        <v>35</v>
      </c>
      <c r="E247" s="10">
        <v>0</v>
      </c>
      <c r="F247" s="3">
        <v>0</v>
      </c>
      <c r="G247" s="3">
        <f>SUM(34)</f>
        <v>34</v>
      </c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5.75" x14ac:dyDescent="0.25">
      <c r="A248" s="12" t="s">
        <v>338</v>
      </c>
      <c r="B248" s="9">
        <f>SUM(C248:W248)</f>
        <v>68.5</v>
      </c>
      <c r="C248" s="9">
        <v>37.5</v>
      </c>
      <c r="D248" s="17">
        <v>31</v>
      </c>
      <c r="E248" s="15"/>
    </row>
    <row r="249" spans="1:23" ht="15.75" x14ac:dyDescent="0.25">
      <c r="A249" s="20" t="s">
        <v>364</v>
      </c>
      <c r="B249" s="9">
        <f>SUM(C249:W249)</f>
        <v>68.5</v>
      </c>
      <c r="C249" s="19">
        <f>37.5+31</f>
        <v>68.5</v>
      </c>
    </row>
    <row r="250" spans="1:23" ht="15.75" x14ac:dyDescent="0.25">
      <c r="A250" s="12" t="s">
        <v>209</v>
      </c>
      <c r="B250" s="9">
        <f>SUM(C250:W250)</f>
        <v>68</v>
      </c>
      <c r="C250" s="9"/>
      <c r="D250" s="9">
        <v>0</v>
      </c>
      <c r="E250" s="10">
        <v>0</v>
      </c>
      <c r="F250" s="3">
        <v>0</v>
      </c>
      <c r="G250" s="3">
        <f>SUM(34+34)</f>
        <v>68</v>
      </c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5.75" x14ac:dyDescent="0.25">
      <c r="A251" s="12" t="s">
        <v>210</v>
      </c>
      <c r="B251" s="9">
        <f>SUM(C251:W251)</f>
        <v>68</v>
      </c>
      <c r="C251" s="9"/>
      <c r="D251" s="9">
        <v>0</v>
      </c>
      <c r="E251" s="10">
        <v>0</v>
      </c>
      <c r="F251" s="3">
        <v>0</v>
      </c>
      <c r="G251" s="4"/>
      <c r="H251" s="4"/>
      <c r="I251" s="4"/>
      <c r="J251" s="4"/>
      <c r="K251" s="4"/>
      <c r="L251" s="4"/>
      <c r="M251" s="4"/>
      <c r="N251" s="4"/>
      <c r="O251" s="3">
        <v>68</v>
      </c>
      <c r="P251" s="3"/>
      <c r="Q251" s="3"/>
      <c r="R251" s="4"/>
      <c r="S251" s="4"/>
      <c r="T251" s="4"/>
      <c r="U251" s="4"/>
      <c r="V251" s="4"/>
      <c r="W251" s="4"/>
    </row>
    <row r="252" spans="1:23" ht="15.75" x14ac:dyDescent="0.25">
      <c r="A252" s="12" t="s">
        <v>333</v>
      </c>
      <c r="B252" s="9">
        <f>SUM(C252:W252)</f>
        <v>67</v>
      </c>
      <c r="C252" s="9">
        <v>32</v>
      </c>
      <c r="D252" s="17">
        <v>35</v>
      </c>
      <c r="E252" s="15"/>
    </row>
    <row r="253" spans="1:23" ht="15.75" x14ac:dyDescent="0.25">
      <c r="A253" s="16" t="s">
        <v>212</v>
      </c>
      <c r="B253" s="9">
        <f>SUM(C253:W253)</f>
        <v>66</v>
      </c>
      <c r="C253" s="9"/>
      <c r="D253" s="9">
        <v>0</v>
      </c>
      <c r="E253" s="10">
        <v>0</v>
      </c>
      <c r="F253" s="3">
        <f>SUM(34+32)</f>
        <v>66</v>
      </c>
    </row>
    <row r="254" spans="1:23" ht="15.75" x14ac:dyDescent="0.25">
      <c r="A254" s="12" t="s">
        <v>213</v>
      </c>
      <c r="B254" s="9">
        <f>SUM(C254:W254)</f>
        <v>66</v>
      </c>
      <c r="C254" s="9"/>
      <c r="D254" s="9">
        <v>0</v>
      </c>
      <c r="E254" s="10">
        <v>0</v>
      </c>
      <c r="F254" s="3">
        <f>SUM(34+32)</f>
        <v>66</v>
      </c>
    </row>
    <row r="255" spans="1:23" ht="17.25" customHeight="1" x14ac:dyDescent="0.25">
      <c r="A255" s="16" t="s">
        <v>214</v>
      </c>
      <c r="B255" s="9">
        <f>SUM(C255:W255)</f>
        <v>66</v>
      </c>
      <c r="C255" s="9"/>
      <c r="D255" s="9">
        <v>0</v>
      </c>
      <c r="E255" s="10">
        <v>0</v>
      </c>
      <c r="F255" s="3">
        <f>SUM(34+32)</f>
        <v>66</v>
      </c>
    </row>
    <row r="256" spans="1:23" ht="15.75" x14ac:dyDescent="0.25">
      <c r="A256" s="12" t="s">
        <v>215</v>
      </c>
      <c r="B256" s="9">
        <f>SUM(C256:W256)</f>
        <v>66</v>
      </c>
      <c r="C256" s="9"/>
      <c r="D256" s="9">
        <v>0</v>
      </c>
      <c r="E256" s="10">
        <v>0</v>
      </c>
      <c r="F256" s="3">
        <f>SUM(32)</f>
        <v>32</v>
      </c>
      <c r="G256" s="4"/>
      <c r="H256" s="3">
        <f>SUM(34)</f>
        <v>34</v>
      </c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5.75" x14ac:dyDescent="0.25">
      <c r="A257" s="12" t="s">
        <v>216</v>
      </c>
      <c r="B257" s="9">
        <f>SUM(C257:W257)</f>
        <v>66</v>
      </c>
      <c r="C257" s="9"/>
      <c r="D257" s="9">
        <v>0</v>
      </c>
      <c r="E257" s="10">
        <v>0</v>
      </c>
      <c r="F257" s="3">
        <v>0</v>
      </c>
      <c r="G257" s="4"/>
      <c r="H257" s="4"/>
      <c r="I257" s="4"/>
      <c r="J257" s="4"/>
      <c r="K257" s="4"/>
      <c r="L257" s="4"/>
      <c r="M257" s="4"/>
      <c r="N257" s="3">
        <v>66</v>
      </c>
      <c r="O257" s="4"/>
      <c r="P257" s="3"/>
      <c r="Q257" s="3"/>
      <c r="R257" s="4"/>
      <c r="S257" s="4"/>
      <c r="T257" s="4"/>
      <c r="U257" s="4"/>
      <c r="V257" s="4"/>
      <c r="W257" s="4"/>
    </row>
    <row r="258" spans="1:23" ht="15.75" x14ac:dyDescent="0.25">
      <c r="A258" s="8" t="s">
        <v>217</v>
      </c>
      <c r="B258" s="9">
        <f>SUM(C258:W258)</f>
        <v>65.599999999999994</v>
      </c>
      <c r="C258" s="9"/>
      <c r="D258" s="9">
        <v>0</v>
      </c>
      <c r="E258" s="10">
        <v>0</v>
      </c>
      <c r="F258" s="3">
        <v>0</v>
      </c>
      <c r="G258" s="3">
        <f>SUM(31.6)</f>
        <v>31.6</v>
      </c>
      <c r="H258" s="3">
        <f>SUM(34)</f>
        <v>34</v>
      </c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5.75" x14ac:dyDescent="0.25">
      <c r="A259" s="8" t="s">
        <v>322</v>
      </c>
      <c r="B259" s="9">
        <f>SUM(C259:W259)</f>
        <v>65</v>
      </c>
      <c r="C259" s="9"/>
      <c r="D259" s="17">
        <f>34+31</f>
        <v>65</v>
      </c>
      <c r="E259" s="10"/>
    </row>
    <row r="260" spans="1:23" ht="15.75" x14ac:dyDescent="0.25">
      <c r="A260" s="8" t="s">
        <v>218</v>
      </c>
      <c r="B260" s="9">
        <f>SUM(C260:W260)</f>
        <v>64</v>
      </c>
      <c r="C260" s="9"/>
      <c r="D260" s="9">
        <v>0</v>
      </c>
      <c r="E260" s="10">
        <v>0</v>
      </c>
      <c r="F260" s="3">
        <v>0</v>
      </c>
      <c r="G260" s="3">
        <f>SUM(34+30)</f>
        <v>64</v>
      </c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5.75" x14ac:dyDescent="0.25">
      <c r="A261" s="8" t="s">
        <v>273</v>
      </c>
      <c r="B261" s="9">
        <f>SUM(C261:W261)</f>
        <v>64</v>
      </c>
      <c r="C261" s="9">
        <v>32</v>
      </c>
      <c r="D261" s="9">
        <v>0</v>
      </c>
      <c r="E261" s="10">
        <v>0</v>
      </c>
      <c r="F261" s="3">
        <f>SUM(32)</f>
        <v>32</v>
      </c>
    </row>
    <row r="262" spans="1:23" ht="15.75" x14ac:dyDescent="0.25">
      <c r="A262" s="8" t="s">
        <v>279</v>
      </c>
      <c r="B262" s="9">
        <f>SUM(C262:W262)</f>
        <v>64</v>
      </c>
      <c r="C262" s="9">
        <v>32</v>
      </c>
      <c r="D262" s="9">
        <v>0</v>
      </c>
      <c r="E262" s="10">
        <v>0</v>
      </c>
      <c r="F262" s="3">
        <v>0</v>
      </c>
      <c r="G262" s="4"/>
      <c r="H262" s="3">
        <f>SUM(32)</f>
        <v>32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5.75" x14ac:dyDescent="0.25">
      <c r="A263" s="21" t="s">
        <v>366</v>
      </c>
      <c r="B263" s="9">
        <f>SUM(C263:W263)</f>
        <v>64</v>
      </c>
      <c r="C263" s="19">
        <f>32+32</f>
        <v>64</v>
      </c>
    </row>
    <row r="264" spans="1:23" ht="15.75" x14ac:dyDescent="0.25">
      <c r="A264" s="21" t="s">
        <v>352</v>
      </c>
      <c r="B264" s="9">
        <f>SUM(C264:W264)</f>
        <v>63</v>
      </c>
      <c r="C264" s="19">
        <f>32+31</f>
        <v>63</v>
      </c>
    </row>
    <row r="265" spans="1:23" ht="15.75" x14ac:dyDescent="0.25">
      <c r="A265" s="21" t="s">
        <v>355</v>
      </c>
      <c r="B265" s="9">
        <f>SUM(C265:W265)</f>
        <v>63</v>
      </c>
      <c r="C265" s="19">
        <f>32+31</f>
        <v>63</v>
      </c>
    </row>
    <row r="266" spans="1:23" ht="15.75" x14ac:dyDescent="0.25">
      <c r="A266" s="21" t="s">
        <v>358</v>
      </c>
      <c r="B266" s="9">
        <f>SUM(C266:W266)</f>
        <v>63</v>
      </c>
      <c r="C266" s="19">
        <f>32+31</f>
        <v>63</v>
      </c>
    </row>
    <row r="267" spans="1:23" ht="15.75" x14ac:dyDescent="0.25">
      <c r="A267" s="21" t="s">
        <v>376</v>
      </c>
      <c r="B267" s="9">
        <f>SUM(C267:W267)</f>
        <v>63</v>
      </c>
      <c r="C267" s="19">
        <f>31+32</f>
        <v>63</v>
      </c>
    </row>
    <row r="268" spans="1:23" ht="15.75" x14ac:dyDescent="0.25">
      <c r="A268" s="12" t="s">
        <v>219</v>
      </c>
      <c r="B268" s="9">
        <f>SUM(C268:W268)</f>
        <v>62</v>
      </c>
      <c r="C268" s="9"/>
      <c r="D268" s="9">
        <v>0</v>
      </c>
      <c r="E268" s="10">
        <v>0</v>
      </c>
      <c r="F268" s="3">
        <v>0</v>
      </c>
      <c r="G268" s="4"/>
      <c r="H268" s="3">
        <f>SUM(32+30)</f>
        <v>62</v>
      </c>
      <c r="I268" s="4"/>
      <c r="J268" s="4"/>
      <c r="K268" s="4"/>
      <c r="L268" s="4"/>
      <c r="M268" s="4"/>
      <c r="N268" s="4"/>
      <c r="O268" s="4"/>
      <c r="P268" s="3"/>
      <c r="Q268" s="3"/>
      <c r="R268" s="4"/>
      <c r="S268" s="4"/>
      <c r="T268" s="4"/>
      <c r="U268" s="4"/>
      <c r="V268" s="4"/>
      <c r="W268" s="4"/>
    </row>
    <row r="269" spans="1:23" ht="15.75" x14ac:dyDescent="0.25">
      <c r="A269" s="12" t="s">
        <v>221</v>
      </c>
      <c r="B269" s="9">
        <f>SUM(C269:W269)</f>
        <v>62</v>
      </c>
      <c r="C269" s="9"/>
      <c r="D269" s="9">
        <v>0</v>
      </c>
      <c r="E269" s="10">
        <f>SUM(30)</f>
        <v>30</v>
      </c>
      <c r="F269" s="3">
        <v>0</v>
      </c>
      <c r="G269" s="4"/>
      <c r="H269" s="3">
        <v>32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5.75" x14ac:dyDescent="0.25">
      <c r="A270" s="12" t="s">
        <v>224</v>
      </c>
      <c r="B270" s="9">
        <f>SUM(C270:W270)</f>
        <v>51</v>
      </c>
      <c r="C270" s="9"/>
      <c r="D270" s="9">
        <v>0</v>
      </c>
      <c r="E270" s="10">
        <v>0</v>
      </c>
      <c r="F270" s="3">
        <v>0</v>
      </c>
      <c r="G270" s="4"/>
      <c r="H270" s="4"/>
      <c r="I270" s="4"/>
      <c r="J270" s="4"/>
      <c r="K270" s="4"/>
      <c r="L270" s="4"/>
      <c r="M270" s="4"/>
      <c r="N270" s="4"/>
      <c r="O270" s="3">
        <v>51</v>
      </c>
      <c r="P270" s="3"/>
      <c r="Q270" s="3"/>
      <c r="R270" s="4"/>
      <c r="S270" s="4"/>
      <c r="T270" s="4"/>
      <c r="U270" s="4"/>
      <c r="V270" s="4"/>
      <c r="W270" s="4"/>
    </row>
    <row r="271" spans="1:23" ht="15.75" x14ac:dyDescent="0.25">
      <c r="A271" s="12" t="s">
        <v>225</v>
      </c>
      <c r="B271" s="9">
        <f>SUM(C271:W271)</f>
        <v>47</v>
      </c>
      <c r="C271" s="9"/>
      <c r="D271" s="9">
        <v>0</v>
      </c>
      <c r="E271" s="10">
        <v>0</v>
      </c>
      <c r="F271" s="3">
        <v>0</v>
      </c>
      <c r="G271" s="4"/>
      <c r="H271" s="4"/>
      <c r="I271" s="4"/>
      <c r="J271" s="4"/>
      <c r="K271" s="3">
        <v>47</v>
      </c>
      <c r="L271" s="4"/>
      <c r="M271" s="4"/>
      <c r="N271" s="4"/>
      <c r="O271" s="4"/>
      <c r="P271" s="3"/>
      <c r="Q271" s="3"/>
      <c r="R271" s="4"/>
      <c r="S271" s="4"/>
      <c r="T271" s="4"/>
      <c r="U271" s="4"/>
      <c r="V271" s="4"/>
      <c r="W271" s="4"/>
    </row>
    <row r="272" spans="1:23" ht="15.75" x14ac:dyDescent="0.25">
      <c r="A272" s="12" t="s">
        <v>226</v>
      </c>
      <c r="B272" s="9">
        <f>SUM(C272:W272)</f>
        <v>46.5</v>
      </c>
      <c r="C272" s="9"/>
      <c r="D272" s="9">
        <v>0</v>
      </c>
      <c r="E272" s="10">
        <v>0</v>
      </c>
      <c r="F272" s="3">
        <v>0</v>
      </c>
      <c r="G272" s="4"/>
      <c r="H272" s="4"/>
      <c r="I272" s="4"/>
      <c r="J272" s="3">
        <v>46.5</v>
      </c>
      <c r="K272" s="4"/>
      <c r="L272" s="4"/>
      <c r="M272" s="4"/>
      <c r="N272" s="4"/>
      <c r="O272" s="4"/>
      <c r="P272" s="3"/>
      <c r="Q272" s="3"/>
      <c r="R272" s="4"/>
      <c r="S272" s="4"/>
      <c r="T272" s="4"/>
      <c r="U272" s="4"/>
      <c r="V272" s="4"/>
      <c r="W272" s="4"/>
    </row>
    <row r="273" spans="1:23" ht="15.75" x14ac:dyDescent="0.25">
      <c r="A273" s="12" t="s">
        <v>227</v>
      </c>
      <c r="B273" s="9">
        <f>SUM(C273:W273)</f>
        <v>46.5</v>
      </c>
      <c r="C273" s="9"/>
      <c r="D273" s="9">
        <v>0</v>
      </c>
      <c r="E273" s="10">
        <v>0</v>
      </c>
      <c r="F273" s="3">
        <v>0</v>
      </c>
      <c r="G273" s="4"/>
      <c r="H273" s="4"/>
      <c r="I273" s="4"/>
      <c r="J273" s="3">
        <v>46.5</v>
      </c>
      <c r="K273" s="4"/>
      <c r="L273" s="4"/>
      <c r="M273" s="4"/>
      <c r="N273" s="4"/>
      <c r="O273" s="4"/>
      <c r="P273" s="3"/>
      <c r="Q273" s="3"/>
      <c r="R273" s="4"/>
      <c r="S273" s="4"/>
      <c r="T273" s="4"/>
      <c r="U273" s="4"/>
      <c r="V273" s="4"/>
      <c r="W273" s="4"/>
    </row>
    <row r="274" spans="1:23" ht="15.75" x14ac:dyDescent="0.25">
      <c r="A274" s="12" t="s">
        <v>228</v>
      </c>
      <c r="B274" s="9">
        <f>SUM(C274:W274)</f>
        <v>46.5</v>
      </c>
      <c r="C274" s="9"/>
      <c r="D274" s="9">
        <v>0</v>
      </c>
      <c r="E274" s="10">
        <v>0</v>
      </c>
      <c r="F274" s="3">
        <v>0</v>
      </c>
      <c r="G274" s="4"/>
      <c r="H274" s="4"/>
      <c r="I274" s="4"/>
      <c r="J274" s="3">
        <v>46.5</v>
      </c>
      <c r="K274" s="4"/>
      <c r="L274" s="4"/>
      <c r="M274" s="4"/>
      <c r="N274" s="4"/>
      <c r="O274" s="4"/>
      <c r="P274" s="3"/>
      <c r="Q274" s="3"/>
      <c r="R274" s="4"/>
      <c r="S274" s="4"/>
      <c r="T274" s="4"/>
      <c r="U274" s="4"/>
      <c r="V274" s="4"/>
      <c r="W274" s="4"/>
    </row>
    <row r="275" spans="1:23" ht="15.75" x14ac:dyDescent="0.25">
      <c r="A275" s="8" t="s">
        <v>229</v>
      </c>
      <c r="B275" s="9">
        <f>SUM(C275:W275)</f>
        <v>46.5</v>
      </c>
      <c r="C275" s="9"/>
      <c r="D275" s="9">
        <v>0</v>
      </c>
      <c r="E275" s="10">
        <v>0</v>
      </c>
      <c r="F275" s="3">
        <v>0</v>
      </c>
      <c r="G275" s="4"/>
      <c r="H275" s="4"/>
      <c r="I275" s="4"/>
      <c r="J275" s="3">
        <v>46.5</v>
      </c>
      <c r="K275" s="4"/>
      <c r="L275" s="4"/>
      <c r="M275" s="4"/>
      <c r="N275" s="4"/>
      <c r="O275" s="4"/>
      <c r="P275" s="3"/>
      <c r="Q275" s="3"/>
      <c r="R275" s="4"/>
      <c r="S275" s="4"/>
      <c r="T275" s="4"/>
      <c r="U275" s="4"/>
      <c r="V275" s="4"/>
      <c r="W275" s="4"/>
    </row>
    <row r="276" spans="1:23" ht="16.5" customHeight="1" x14ac:dyDescent="0.25">
      <c r="A276" s="8" t="s">
        <v>230</v>
      </c>
      <c r="B276" s="9">
        <f>SUM(C276:W276)</f>
        <v>42</v>
      </c>
      <c r="C276" s="9"/>
      <c r="D276" s="9">
        <v>0</v>
      </c>
      <c r="E276" s="10">
        <v>0</v>
      </c>
      <c r="F276" s="3">
        <v>0</v>
      </c>
      <c r="G276" s="3">
        <f>SUM(42)</f>
        <v>42</v>
      </c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5" customHeight="1" x14ac:dyDescent="0.25">
      <c r="A277" s="8" t="s">
        <v>231</v>
      </c>
      <c r="B277" s="9">
        <f>SUM(C277:W277)</f>
        <v>42</v>
      </c>
      <c r="C277" s="9"/>
      <c r="D277" s="9">
        <v>0</v>
      </c>
      <c r="E277" s="10">
        <v>0</v>
      </c>
      <c r="F277" s="3">
        <v>0</v>
      </c>
      <c r="G277" s="3">
        <f>SUM(42)</f>
        <v>42</v>
      </c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9.5" customHeight="1" x14ac:dyDescent="0.25">
      <c r="A278" s="8" t="s">
        <v>233</v>
      </c>
      <c r="B278" s="9">
        <f>SUM(C278:W278)</f>
        <v>42</v>
      </c>
      <c r="C278" s="9"/>
      <c r="D278" s="9">
        <v>0</v>
      </c>
      <c r="E278" s="10">
        <v>0</v>
      </c>
      <c r="F278" s="3">
        <v>0</v>
      </c>
      <c r="G278" s="4"/>
      <c r="H278" s="4"/>
      <c r="I278" s="4"/>
      <c r="J278" s="4"/>
      <c r="K278" s="3">
        <v>42</v>
      </c>
      <c r="L278" s="4"/>
      <c r="M278" s="4"/>
      <c r="N278" s="4"/>
      <c r="O278" s="4"/>
      <c r="P278" s="3"/>
      <c r="Q278" s="3"/>
      <c r="R278" s="4"/>
      <c r="S278" s="4"/>
      <c r="T278" s="4"/>
      <c r="U278" s="4"/>
      <c r="V278" s="4"/>
      <c r="W278" s="4"/>
    </row>
    <row r="279" spans="1:23" ht="19.5" customHeight="1" x14ac:dyDescent="0.25">
      <c r="A279" s="8" t="s">
        <v>234</v>
      </c>
      <c r="B279" s="9">
        <f>SUM(C279:W279)</f>
        <v>42</v>
      </c>
      <c r="C279" s="9"/>
      <c r="D279" s="9">
        <v>0</v>
      </c>
      <c r="E279" s="10">
        <v>0</v>
      </c>
      <c r="F279" s="3">
        <v>0</v>
      </c>
      <c r="G279" s="4"/>
      <c r="H279" s="4"/>
      <c r="I279" s="4"/>
      <c r="J279" s="4"/>
      <c r="K279" s="3">
        <v>42</v>
      </c>
      <c r="L279" s="4"/>
      <c r="M279" s="4"/>
      <c r="N279" s="4"/>
      <c r="O279" s="4"/>
      <c r="P279" s="3"/>
      <c r="Q279" s="3"/>
      <c r="R279" s="4"/>
      <c r="S279" s="4"/>
      <c r="T279" s="4"/>
      <c r="U279" s="4"/>
      <c r="V279" s="4"/>
      <c r="W279" s="4"/>
    </row>
    <row r="280" spans="1:23" ht="15.75" x14ac:dyDescent="0.25">
      <c r="A280" s="12" t="s">
        <v>235</v>
      </c>
      <c r="B280" s="9">
        <f>SUM(C280:W280)</f>
        <v>42</v>
      </c>
      <c r="C280" s="9"/>
      <c r="D280" s="9">
        <v>0</v>
      </c>
      <c r="E280" s="10">
        <v>0</v>
      </c>
      <c r="F280" s="3">
        <v>0</v>
      </c>
      <c r="G280" s="4"/>
      <c r="H280" s="4"/>
      <c r="I280" s="4"/>
      <c r="J280" s="4"/>
      <c r="K280" s="3">
        <v>42</v>
      </c>
      <c r="L280" s="4"/>
      <c r="M280" s="4"/>
      <c r="N280" s="4"/>
      <c r="O280" s="4"/>
      <c r="P280" s="3"/>
      <c r="Q280" s="3"/>
      <c r="R280" s="4"/>
      <c r="S280" s="4"/>
      <c r="T280" s="4"/>
      <c r="U280" s="4"/>
      <c r="V280" s="4"/>
      <c r="W280" s="4"/>
    </row>
    <row r="281" spans="1:23" ht="15.75" x14ac:dyDescent="0.25">
      <c r="A281" s="12" t="s">
        <v>236</v>
      </c>
      <c r="B281" s="9">
        <f>SUM(C281:W281)</f>
        <v>42</v>
      </c>
      <c r="C281" s="9"/>
      <c r="D281" s="9">
        <v>0</v>
      </c>
      <c r="E281" s="10">
        <v>0</v>
      </c>
      <c r="F281" s="3">
        <v>0</v>
      </c>
      <c r="G281" s="4"/>
      <c r="H281" s="4"/>
      <c r="I281" s="3">
        <v>42</v>
      </c>
      <c r="J281" s="4"/>
      <c r="K281" s="4"/>
      <c r="L281" s="4"/>
      <c r="M281" s="4"/>
      <c r="N281" s="4"/>
      <c r="O281" s="4"/>
      <c r="P281" s="3"/>
      <c r="Q281" s="3"/>
      <c r="R281" s="4"/>
      <c r="S281" s="4"/>
      <c r="T281" s="4"/>
      <c r="U281" s="4"/>
      <c r="V281" s="4"/>
      <c r="W281" s="4"/>
    </row>
    <row r="282" spans="1:23" ht="15.75" x14ac:dyDescent="0.25">
      <c r="A282" s="12" t="s">
        <v>237</v>
      </c>
      <c r="B282" s="9">
        <f>SUM(C282:W282)</f>
        <v>40.5</v>
      </c>
      <c r="C282" s="9"/>
      <c r="D282" s="9">
        <v>0</v>
      </c>
      <c r="E282" s="10">
        <v>0</v>
      </c>
      <c r="F282" s="3">
        <f>SUM(40.5)</f>
        <v>40.5</v>
      </c>
    </row>
    <row r="283" spans="1:23" ht="15.75" x14ac:dyDescent="0.25">
      <c r="A283" s="12" t="s">
        <v>238</v>
      </c>
      <c r="B283" s="9">
        <f>SUM(C283:W283)</f>
        <v>40</v>
      </c>
      <c r="C283" s="9"/>
      <c r="D283" s="9">
        <v>0</v>
      </c>
      <c r="E283" s="10">
        <v>0</v>
      </c>
      <c r="F283" s="3">
        <v>0</v>
      </c>
      <c r="G283" s="4"/>
      <c r="H283" s="4"/>
      <c r="I283" s="4"/>
      <c r="J283" s="4"/>
      <c r="K283" s="4"/>
      <c r="L283" s="3">
        <v>40</v>
      </c>
      <c r="M283" s="4"/>
      <c r="N283" s="4"/>
      <c r="O283" s="4"/>
      <c r="P283" s="3"/>
      <c r="Q283" s="3"/>
      <c r="R283" s="4"/>
      <c r="S283" s="4"/>
      <c r="T283" s="4"/>
      <c r="U283" s="4"/>
      <c r="V283" s="4"/>
      <c r="W283" s="4"/>
    </row>
    <row r="284" spans="1:23" ht="15.75" x14ac:dyDescent="0.25">
      <c r="A284" s="12" t="s">
        <v>239</v>
      </c>
      <c r="B284" s="9">
        <f>SUM(C284:W284)</f>
        <v>40</v>
      </c>
      <c r="C284" s="9"/>
      <c r="D284" s="9">
        <v>0</v>
      </c>
      <c r="E284" s="10">
        <v>0</v>
      </c>
      <c r="F284" s="3">
        <v>0</v>
      </c>
      <c r="G284" s="4"/>
      <c r="H284" s="4"/>
      <c r="I284" s="4"/>
      <c r="J284" s="4"/>
      <c r="K284" s="4"/>
      <c r="L284" s="4"/>
      <c r="M284" s="4"/>
      <c r="N284" s="4"/>
      <c r="O284" s="3">
        <v>40</v>
      </c>
      <c r="P284" s="3"/>
      <c r="Q284" s="3"/>
      <c r="R284" s="4"/>
      <c r="S284" s="4"/>
      <c r="T284" s="4"/>
      <c r="U284" s="4"/>
      <c r="V284" s="4"/>
      <c r="W284" s="4"/>
    </row>
    <row r="285" spans="1:23" ht="15.75" x14ac:dyDescent="0.25">
      <c r="A285" s="12" t="s">
        <v>240</v>
      </c>
      <c r="B285" s="9">
        <f>SUM(C285:W285)</f>
        <v>39</v>
      </c>
      <c r="C285" s="9"/>
      <c r="D285" s="9">
        <v>0</v>
      </c>
      <c r="E285" s="10">
        <v>0</v>
      </c>
      <c r="F285" s="3">
        <v>0</v>
      </c>
      <c r="G285" s="3">
        <f>SUM(39)</f>
        <v>39</v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5.75" x14ac:dyDescent="0.25">
      <c r="A286" s="12" t="s">
        <v>241</v>
      </c>
      <c r="B286" s="9">
        <f>SUM(C286:W286)</f>
        <v>39</v>
      </c>
      <c r="C286" s="9"/>
      <c r="D286" s="9">
        <v>0</v>
      </c>
      <c r="E286" s="10">
        <v>0</v>
      </c>
      <c r="F286" s="3">
        <v>0</v>
      </c>
      <c r="G286" s="4"/>
      <c r="H286" s="3">
        <f>SUM(39)</f>
        <v>39</v>
      </c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5.75" x14ac:dyDescent="0.25">
      <c r="A287" s="12" t="s">
        <v>242</v>
      </c>
      <c r="B287" s="9">
        <f>SUM(C287:W287)</f>
        <v>39</v>
      </c>
      <c r="C287" s="9"/>
      <c r="D287" s="9">
        <v>0</v>
      </c>
      <c r="E287" s="10">
        <v>0</v>
      </c>
      <c r="F287" s="3">
        <v>0</v>
      </c>
      <c r="G287" s="4"/>
      <c r="H287" s="3">
        <f>SUM(39)</f>
        <v>39</v>
      </c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5.75" x14ac:dyDescent="0.25">
      <c r="A288" s="12" t="s">
        <v>243</v>
      </c>
      <c r="B288" s="9">
        <f>SUM(C288:W288)</f>
        <v>39</v>
      </c>
      <c r="C288" s="9"/>
      <c r="D288" s="9">
        <v>0</v>
      </c>
      <c r="E288" s="10">
        <v>0</v>
      </c>
      <c r="F288" s="3">
        <v>0</v>
      </c>
      <c r="G288" s="4"/>
      <c r="H288" s="4"/>
      <c r="I288" s="4"/>
      <c r="J288" s="4"/>
      <c r="K288" s="4"/>
      <c r="L288" s="4"/>
      <c r="M288" s="3">
        <v>39</v>
      </c>
      <c r="N288" s="4"/>
      <c r="O288" s="4"/>
      <c r="P288" s="3"/>
      <c r="Q288" s="3"/>
      <c r="R288" s="4"/>
      <c r="S288" s="4"/>
      <c r="T288" s="4"/>
      <c r="U288" s="4"/>
      <c r="V288" s="4"/>
      <c r="W288" s="4"/>
    </row>
    <row r="289" spans="1:23" ht="15.75" x14ac:dyDescent="0.25">
      <c r="A289" s="12" t="s">
        <v>244</v>
      </c>
      <c r="B289" s="9">
        <f>SUM(C289:W289)</f>
        <v>39</v>
      </c>
      <c r="C289" s="9"/>
      <c r="D289" s="9">
        <v>0</v>
      </c>
      <c r="E289" s="10">
        <v>0</v>
      </c>
      <c r="F289" s="3">
        <v>0</v>
      </c>
      <c r="G289" s="4"/>
      <c r="H289" s="4"/>
      <c r="I289" s="4"/>
      <c r="J289" s="4"/>
      <c r="K289" s="4"/>
      <c r="L289" s="4"/>
      <c r="M289" s="3">
        <v>39</v>
      </c>
      <c r="N289" s="4"/>
      <c r="O289" s="4"/>
      <c r="P289" s="3"/>
      <c r="Q289" s="3"/>
      <c r="R289" s="4"/>
      <c r="S289" s="4"/>
      <c r="T289" s="4"/>
      <c r="U289" s="4"/>
      <c r="V289" s="4"/>
      <c r="W289" s="4"/>
    </row>
    <row r="290" spans="1:23" ht="15.75" x14ac:dyDescent="0.25">
      <c r="A290" s="12" t="s">
        <v>245</v>
      </c>
      <c r="B290" s="9">
        <f>SUM(C290:W290)</f>
        <v>39</v>
      </c>
      <c r="C290" s="9"/>
      <c r="D290" s="9">
        <v>0</v>
      </c>
      <c r="E290" s="10">
        <v>0</v>
      </c>
      <c r="F290" s="3">
        <v>0</v>
      </c>
      <c r="G290" s="4"/>
      <c r="H290" s="4"/>
      <c r="I290" s="4"/>
      <c r="J290" s="4"/>
      <c r="K290" s="4"/>
      <c r="L290" s="4"/>
      <c r="M290" s="4"/>
      <c r="N290" s="3">
        <v>39</v>
      </c>
      <c r="O290" s="4"/>
      <c r="P290" s="3"/>
      <c r="Q290" s="3"/>
      <c r="R290" s="4"/>
      <c r="S290" s="4"/>
      <c r="T290" s="4"/>
      <c r="U290" s="4"/>
      <c r="V290" s="4"/>
      <c r="W290" s="4"/>
    </row>
    <row r="291" spans="1:23" ht="15.75" x14ac:dyDescent="0.25">
      <c r="A291" s="12" t="s">
        <v>246</v>
      </c>
      <c r="B291" s="9">
        <f>SUM(C291:W291)</f>
        <v>38.5</v>
      </c>
      <c r="C291" s="9"/>
      <c r="D291" s="9">
        <v>0</v>
      </c>
      <c r="E291" s="10">
        <v>0</v>
      </c>
      <c r="F291" s="3">
        <v>0</v>
      </c>
      <c r="G291" s="4"/>
      <c r="H291" s="3">
        <f>SUM(38.5)</f>
        <v>38.5</v>
      </c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5.75" x14ac:dyDescent="0.25">
      <c r="A292" s="12" t="s">
        <v>247</v>
      </c>
      <c r="B292" s="9">
        <f>SUM(C292:W292)</f>
        <v>38</v>
      </c>
      <c r="C292" s="9"/>
      <c r="D292" s="9">
        <v>0</v>
      </c>
      <c r="E292" s="10">
        <v>0</v>
      </c>
      <c r="F292" s="3">
        <v>0</v>
      </c>
      <c r="G292" s="3">
        <f>SUM(38)</f>
        <v>38</v>
      </c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5.75" x14ac:dyDescent="0.25">
      <c r="A293" s="12" t="s">
        <v>248</v>
      </c>
      <c r="B293" s="9">
        <f>SUM(C293:W293)</f>
        <v>38</v>
      </c>
      <c r="C293" s="9"/>
      <c r="D293" s="9">
        <v>0</v>
      </c>
      <c r="E293" s="10">
        <v>0</v>
      </c>
      <c r="F293" s="3">
        <v>0</v>
      </c>
      <c r="G293" s="4"/>
      <c r="H293" s="4"/>
      <c r="I293" s="4"/>
      <c r="J293" s="4"/>
      <c r="K293" s="4"/>
      <c r="L293" s="4"/>
      <c r="M293" s="4"/>
      <c r="N293" s="3">
        <v>38</v>
      </c>
      <c r="O293" s="4"/>
      <c r="P293" s="3"/>
      <c r="Q293" s="3"/>
      <c r="R293" s="4"/>
      <c r="S293" s="4"/>
      <c r="T293" s="4"/>
      <c r="U293" s="4"/>
      <c r="V293" s="4"/>
      <c r="W293" s="4"/>
    </row>
    <row r="294" spans="1:23" ht="15.75" x14ac:dyDescent="0.25">
      <c r="A294" s="20" t="s">
        <v>362</v>
      </c>
      <c r="B294" s="9">
        <f>SUM(C294:W294)</f>
        <v>37.5</v>
      </c>
      <c r="C294" s="19">
        <v>37.5</v>
      </c>
    </row>
    <row r="295" spans="1:23" ht="15.75" x14ac:dyDescent="0.25">
      <c r="A295" s="20" t="s">
        <v>363</v>
      </c>
      <c r="B295" s="9">
        <f>SUM(C295:W295)</f>
        <v>37.5</v>
      </c>
      <c r="C295" s="19">
        <v>37.5</v>
      </c>
    </row>
    <row r="296" spans="1:23" ht="15.75" x14ac:dyDescent="0.25">
      <c r="A296" s="12" t="s">
        <v>250</v>
      </c>
      <c r="B296" s="9">
        <f>SUM(C296:W296)</f>
        <v>37</v>
      </c>
      <c r="C296" s="9"/>
      <c r="D296" s="9">
        <v>0</v>
      </c>
      <c r="E296" s="10">
        <v>0</v>
      </c>
      <c r="F296" s="3">
        <v>0</v>
      </c>
      <c r="G296" s="4"/>
      <c r="H296" s="4"/>
      <c r="I296" s="4"/>
      <c r="J296" s="4"/>
      <c r="K296" s="4"/>
      <c r="L296" s="4"/>
      <c r="M296" s="3">
        <v>37</v>
      </c>
      <c r="N296" s="4"/>
      <c r="O296" s="4"/>
      <c r="P296" s="3"/>
      <c r="Q296" s="3"/>
      <c r="R296" s="4"/>
      <c r="S296" s="4"/>
      <c r="T296" s="4"/>
      <c r="U296" s="4"/>
      <c r="V296" s="4"/>
      <c r="W296" s="4"/>
    </row>
    <row r="297" spans="1:23" ht="15.75" x14ac:dyDescent="0.25">
      <c r="A297" s="12" t="s">
        <v>347</v>
      </c>
      <c r="B297" s="9">
        <f>SUM(C297:W297)</f>
        <v>36</v>
      </c>
      <c r="C297" s="9"/>
      <c r="D297" s="17">
        <v>36</v>
      </c>
      <c r="E297" s="15"/>
    </row>
    <row r="298" spans="1:23" ht="15.75" x14ac:dyDescent="0.25">
      <c r="A298" s="20" t="s">
        <v>365</v>
      </c>
      <c r="B298" s="9">
        <f>SUM(C298:W298)</f>
        <v>36</v>
      </c>
      <c r="C298" s="19">
        <v>36</v>
      </c>
    </row>
    <row r="299" spans="1:23" ht="15.75" x14ac:dyDescent="0.25">
      <c r="A299" s="12" t="s">
        <v>251</v>
      </c>
      <c r="B299" s="9">
        <f>SUM(C299:W299)</f>
        <v>34</v>
      </c>
      <c r="C299" s="9"/>
      <c r="D299" s="9">
        <v>0</v>
      </c>
      <c r="E299" s="10">
        <v>0</v>
      </c>
      <c r="F299" s="3">
        <f>SUM(34)</f>
        <v>34</v>
      </c>
    </row>
    <row r="300" spans="1:23" ht="15.75" x14ac:dyDescent="0.25">
      <c r="A300" s="12" t="s">
        <v>252</v>
      </c>
      <c r="B300" s="9">
        <f>SUM(C300:W300)</f>
        <v>34</v>
      </c>
      <c r="C300" s="9"/>
      <c r="D300" s="9">
        <v>0</v>
      </c>
      <c r="E300" s="10">
        <v>0</v>
      </c>
      <c r="F300" s="3">
        <f>SUM(34)</f>
        <v>34</v>
      </c>
    </row>
    <row r="301" spans="1:23" ht="15.75" x14ac:dyDescent="0.25">
      <c r="A301" s="12" t="s">
        <v>254</v>
      </c>
      <c r="B301" s="9">
        <f>SUM(C301:W301)</f>
        <v>34</v>
      </c>
      <c r="C301" s="9"/>
      <c r="D301" s="9">
        <v>0</v>
      </c>
      <c r="E301" s="10">
        <v>0</v>
      </c>
      <c r="F301" s="3">
        <v>0</v>
      </c>
      <c r="G301" s="3">
        <f>SUM(34)</f>
        <v>34</v>
      </c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5.75" x14ac:dyDescent="0.25">
      <c r="A302" s="12" t="s">
        <v>255</v>
      </c>
      <c r="B302" s="9">
        <f>SUM(C302:W302)</f>
        <v>34</v>
      </c>
      <c r="C302" s="9"/>
      <c r="D302" s="9">
        <v>0</v>
      </c>
      <c r="E302" s="10">
        <v>0</v>
      </c>
      <c r="F302" s="3">
        <v>0</v>
      </c>
      <c r="G302" s="3">
        <f>SUM(34)</f>
        <v>34</v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5.75" x14ac:dyDescent="0.25">
      <c r="A303" s="12" t="s">
        <v>256</v>
      </c>
      <c r="B303" s="9">
        <f>SUM(C303:W303)</f>
        <v>34</v>
      </c>
      <c r="C303" s="9"/>
      <c r="D303" s="9">
        <v>0</v>
      </c>
      <c r="E303" s="10">
        <v>0</v>
      </c>
      <c r="F303" s="3">
        <v>0</v>
      </c>
      <c r="G303" s="3">
        <f>SUM(34)</f>
        <v>34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5.75" x14ac:dyDescent="0.25">
      <c r="A304" s="12" t="s">
        <v>257</v>
      </c>
      <c r="B304" s="9">
        <f>SUM(C304:W304)</f>
        <v>34</v>
      </c>
      <c r="C304" s="9"/>
      <c r="D304" s="9">
        <v>0</v>
      </c>
      <c r="E304" s="10">
        <v>0</v>
      </c>
      <c r="F304" s="3">
        <v>0</v>
      </c>
      <c r="G304" s="4"/>
      <c r="H304" s="3">
        <f>SUM(34)</f>
        <v>34</v>
      </c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5.75" x14ac:dyDescent="0.25">
      <c r="A305" s="12" t="s">
        <v>258</v>
      </c>
      <c r="B305" s="9">
        <f>SUM(C305:W305)</f>
        <v>34</v>
      </c>
      <c r="C305" s="9"/>
      <c r="D305" s="9">
        <v>0</v>
      </c>
      <c r="E305" s="10">
        <v>0</v>
      </c>
      <c r="F305" s="3">
        <v>0</v>
      </c>
      <c r="G305" s="4"/>
      <c r="H305" s="3">
        <f>SUM(34)</f>
        <v>34</v>
      </c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5.75" x14ac:dyDescent="0.25">
      <c r="A306" s="12" t="s">
        <v>259</v>
      </c>
      <c r="B306" s="9">
        <f>SUM(C306:W306)</f>
        <v>34</v>
      </c>
      <c r="C306" s="9"/>
      <c r="D306" s="9">
        <v>0</v>
      </c>
      <c r="E306" s="10">
        <v>0</v>
      </c>
      <c r="F306" s="3">
        <v>0</v>
      </c>
      <c r="G306" s="4"/>
      <c r="H306" s="3">
        <f>SUM(34)</f>
        <v>34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5.75" x14ac:dyDescent="0.25">
      <c r="A307" s="12" t="s">
        <v>260</v>
      </c>
      <c r="B307" s="9">
        <f>SUM(C307:W307)</f>
        <v>34</v>
      </c>
      <c r="C307" s="9"/>
      <c r="D307" s="9">
        <v>0</v>
      </c>
      <c r="E307" s="10">
        <v>0</v>
      </c>
      <c r="F307" s="3">
        <v>0</v>
      </c>
      <c r="G307" s="4"/>
      <c r="H307" s="3">
        <f>SUM(34)</f>
        <v>34</v>
      </c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5.75" x14ac:dyDescent="0.25">
      <c r="A308" s="12" t="s">
        <v>261</v>
      </c>
      <c r="B308" s="9">
        <f>SUM(C308:W308)</f>
        <v>34</v>
      </c>
      <c r="C308" s="9"/>
      <c r="D308" s="9">
        <v>0</v>
      </c>
      <c r="E308" s="10">
        <v>0</v>
      </c>
      <c r="F308" s="3">
        <v>0</v>
      </c>
      <c r="G308" s="4"/>
      <c r="H308" s="3">
        <f>SUM(34)</f>
        <v>34</v>
      </c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5.75" x14ac:dyDescent="0.25">
      <c r="A309" s="12" t="s">
        <v>262</v>
      </c>
      <c r="B309" s="9">
        <f>SUM(C309:W309)</f>
        <v>34</v>
      </c>
      <c r="C309" s="9"/>
      <c r="D309" s="9">
        <v>0</v>
      </c>
      <c r="E309" s="10">
        <v>0</v>
      </c>
      <c r="F309" s="3">
        <v>0</v>
      </c>
      <c r="G309" s="4"/>
      <c r="H309" s="3">
        <f>SUM(34)</f>
        <v>34</v>
      </c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5.75" x14ac:dyDescent="0.25">
      <c r="A310" s="12" t="s">
        <v>263</v>
      </c>
      <c r="B310" s="9">
        <f>SUM(C310:W310)</f>
        <v>34</v>
      </c>
      <c r="C310" s="9"/>
      <c r="D310" s="9">
        <v>0</v>
      </c>
      <c r="E310" s="10">
        <v>0</v>
      </c>
      <c r="F310" s="3">
        <v>0</v>
      </c>
      <c r="G310" s="4"/>
      <c r="H310" s="3">
        <f>SUM(34)</f>
        <v>34</v>
      </c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5.75" x14ac:dyDescent="0.25">
      <c r="A311" s="12" t="s">
        <v>264</v>
      </c>
      <c r="B311" s="9">
        <f>SUM(C311:W311)</f>
        <v>34</v>
      </c>
      <c r="C311" s="9"/>
      <c r="D311" s="9">
        <v>0</v>
      </c>
      <c r="E311" s="10">
        <v>0</v>
      </c>
      <c r="F311" s="3">
        <v>0</v>
      </c>
      <c r="G311" s="4"/>
      <c r="H311" s="4"/>
      <c r="I311" s="4"/>
      <c r="J311" s="4"/>
      <c r="K311" s="4"/>
      <c r="L311" s="3">
        <v>34</v>
      </c>
      <c r="M311" s="4"/>
      <c r="N311" s="4"/>
      <c r="O311" s="4"/>
      <c r="P311" s="3"/>
      <c r="Q311" s="3"/>
      <c r="R311" s="4"/>
      <c r="S311" s="4"/>
      <c r="T311" s="4"/>
      <c r="U311" s="4"/>
      <c r="V311" s="4"/>
      <c r="W311" s="4"/>
    </row>
    <row r="312" spans="1:23" ht="15.75" x14ac:dyDescent="0.25">
      <c r="A312" s="12" t="s">
        <v>265</v>
      </c>
      <c r="B312" s="9">
        <f>SUM(C312:W312)</f>
        <v>34</v>
      </c>
      <c r="C312" s="9"/>
      <c r="D312" s="9">
        <v>0</v>
      </c>
      <c r="E312" s="10">
        <v>0</v>
      </c>
      <c r="F312" s="3">
        <v>0</v>
      </c>
      <c r="G312" s="4"/>
      <c r="H312" s="4"/>
      <c r="I312" s="4"/>
      <c r="J312" s="4"/>
      <c r="K312" s="4"/>
      <c r="L312" s="3">
        <v>34</v>
      </c>
      <c r="M312" s="4"/>
      <c r="N312" s="4"/>
      <c r="O312" s="4"/>
      <c r="P312" s="3"/>
      <c r="Q312" s="3"/>
      <c r="R312" s="4"/>
      <c r="S312" s="4"/>
      <c r="T312" s="4"/>
      <c r="U312" s="4"/>
      <c r="V312" s="4"/>
      <c r="W312" s="4"/>
    </row>
    <row r="313" spans="1:23" ht="15.75" x14ac:dyDescent="0.25">
      <c r="A313" s="12" t="s">
        <v>266</v>
      </c>
      <c r="B313" s="9">
        <f>SUM(C313:W313)</f>
        <v>34</v>
      </c>
      <c r="C313" s="9"/>
      <c r="D313" s="9">
        <v>0</v>
      </c>
      <c r="E313" s="10">
        <v>0</v>
      </c>
      <c r="F313" s="3">
        <v>0</v>
      </c>
      <c r="G313" s="4"/>
      <c r="H313" s="4"/>
      <c r="I313" s="4"/>
      <c r="J313" s="4"/>
      <c r="K313" s="4"/>
      <c r="L313" s="4"/>
      <c r="M313" s="4"/>
      <c r="N313" s="3">
        <v>34</v>
      </c>
      <c r="O313" s="4"/>
      <c r="P313" s="3"/>
      <c r="Q313" s="3"/>
      <c r="R313" s="4"/>
      <c r="S313" s="4"/>
      <c r="T313" s="4"/>
      <c r="U313" s="4"/>
      <c r="V313" s="4"/>
      <c r="W313" s="4"/>
    </row>
    <row r="314" spans="1:23" ht="15.75" x14ac:dyDescent="0.25">
      <c r="A314" s="12" t="s">
        <v>267</v>
      </c>
      <c r="B314" s="9">
        <f>SUM(C314:W314)</f>
        <v>34</v>
      </c>
      <c r="C314" s="9"/>
      <c r="D314" s="9">
        <v>0</v>
      </c>
      <c r="E314" s="10">
        <v>0</v>
      </c>
      <c r="F314" s="3">
        <v>0</v>
      </c>
      <c r="G314" s="4"/>
      <c r="H314" s="4"/>
      <c r="I314" s="4"/>
      <c r="J314" s="4"/>
      <c r="K314" s="4"/>
      <c r="L314" s="4"/>
      <c r="M314" s="4"/>
      <c r="N314" s="4"/>
      <c r="O314" s="3">
        <v>34</v>
      </c>
      <c r="P314" s="3"/>
      <c r="Q314" s="3"/>
      <c r="R314" s="4"/>
      <c r="S314" s="4"/>
      <c r="T314" s="4"/>
      <c r="U314" s="4"/>
      <c r="V314" s="4"/>
      <c r="W314" s="4"/>
    </row>
    <row r="315" spans="1:23" ht="15.75" x14ac:dyDescent="0.25">
      <c r="A315" s="12" t="s">
        <v>324</v>
      </c>
      <c r="B315" s="9">
        <f>SUM(C315:W315)</f>
        <v>34</v>
      </c>
      <c r="C315" s="9"/>
      <c r="D315" s="17">
        <v>34</v>
      </c>
      <c r="E315" s="10"/>
    </row>
    <row r="316" spans="1:23" ht="15.75" x14ac:dyDescent="0.25">
      <c r="A316" s="12" t="s">
        <v>325</v>
      </c>
      <c r="B316" s="9">
        <f>SUM(C316:W316)</f>
        <v>34</v>
      </c>
      <c r="C316" s="9"/>
      <c r="D316" s="17">
        <v>34</v>
      </c>
      <c r="E316" s="15"/>
    </row>
    <row r="317" spans="1:23" ht="15.75" x14ac:dyDescent="0.25">
      <c r="A317" s="12" t="s">
        <v>326</v>
      </c>
      <c r="B317" s="9">
        <f>SUM(C317:W317)</f>
        <v>34</v>
      </c>
      <c r="C317" s="9"/>
      <c r="D317" s="17">
        <v>34</v>
      </c>
      <c r="E317" s="15"/>
    </row>
    <row r="318" spans="1:23" ht="15.75" x14ac:dyDescent="0.25">
      <c r="A318" s="12" t="s">
        <v>328</v>
      </c>
      <c r="B318" s="9">
        <f>SUM(C318:W318)</f>
        <v>34</v>
      </c>
      <c r="C318" s="9"/>
      <c r="D318" s="17">
        <v>34</v>
      </c>
      <c r="E318" s="15"/>
    </row>
    <row r="319" spans="1:23" ht="15.75" x14ac:dyDescent="0.25">
      <c r="A319" s="20" t="s">
        <v>361</v>
      </c>
      <c r="B319" s="9">
        <f>SUM(C319:W319)</f>
        <v>34</v>
      </c>
      <c r="C319" s="19">
        <v>34</v>
      </c>
    </row>
    <row r="320" spans="1:23" ht="15.75" x14ac:dyDescent="0.25">
      <c r="A320" s="12" t="s">
        <v>268</v>
      </c>
      <c r="B320" s="9">
        <f>SUM(C320:W320)</f>
        <v>33</v>
      </c>
      <c r="C320" s="9"/>
      <c r="D320" s="9">
        <v>0</v>
      </c>
      <c r="E320" s="10">
        <v>0</v>
      </c>
      <c r="F320" s="3">
        <v>0</v>
      </c>
      <c r="G320" s="3">
        <f>SUM(33)</f>
        <v>33</v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5.75" x14ac:dyDescent="0.25">
      <c r="A321" s="12" t="s">
        <v>269</v>
      </c>
      <c r="B321" s="9">
        <f>SUM(C321:W321)</f>
        <v>33</v>
      </c>
      <c r="C321" s="9"/>
      <c r="D321" s="9">
        <v>0</v>
      </c>
      <c r="E321" s="10">
        <v>0</v>
      </c>
      <c r="F321" s="3">
        <v>0</v>
      </c>
      <c r="G321" s="4"/>
      <c r="H321" s="4"/>
      <c r="I321" s="4"/>
      <c r="J321" s="4"/>
      <c r="K321" s="4"/>
      <c r="L321" s="3">
        <v>33</v>
      </c>
      <c r="M321" s="4"/>
      <c r="N321" s="4"/>
      <c r="O321" s="4"/>
      <c r="P321" s="3"/>
      <c r="Q321" s="3"/>
      <c r="R321" s="4"/>
      <c r="S321" s="4"/>
      <c r="T321" s="4"/>
      <c r="U321" s="4"/>
      <c r="V321" s="4"/>
      <c r="W321" s="4"/>
    </row>
    <row r="322" spans="1:23" ht="15.75" x14ac:dyDescent="0.25">
      <c r="A322" s="12" t="s">
        <v>270</v>
      </c>
      <c r="B322" s="9">
        <f>SUM(C322:W322)</f>
        <v>33</v>
      </c>
      <c r="C322" s="9"/>
      <c r="D322" s="9">
        <v>0</v>
      </c>
      <c r="E322" s="10">
        <v>0</v>
      </c>
      <c r="F322" s="3">
        <v>0</v>
      </c>
      <c r="G322" s="4"/>
      <c r="H322" s="4"/>
      <c r="I322" s="4"/>
      <c r="J322" s="4"/>
      <c r="K322" s="4"/>
      <c r="L322" s="4"/>
      <c r="M322" s="4"/>
      <c r="N322" s="3">
        <v>33</v>
      </c>
      <c r="O322" s="4"/>
      <c r="P322" s="3"/>
      <c r="Q322" s="3"/>
      <c r="R322" s="4"/>
      <c r="S322" s="4"/>
      <c r="T322" s="4"/>
      <c r="U322" s="4"/>
      <c r="V322" s="4"/>
      <c r="W322" s="4"/>
    </row>
    <row r="323" spans="1:23" ht="15.75" x14ac:dyDescent="0.25">
      <c r="A323" s="12" t="s">
        <v>271</v>
      </c>
      <c r="B323" s="9">
        <f>SUM(C323:W323)</f>
        <v>33</v>
      </c>
      <c r="C323" s="9"/>
      <c r="D323" s="9">
        <v>0</v>
      </c>
      <c r="E323" s="10">
        <v>0</v>
      </c>
      <c r="F323" s="3">
        <v>0</v>
      </c>
      <c r="G323" s="4"/>
      <c r="H323" s="4"/>
      <c r="I323" s="4"/>
      <c r="J323" s="4"/>
      <c r="K323" s="4"/>
      <c r="L323" s="4"/>
      <c r="M323" s="4"/>
      <c r="N323" s="3">
        <v>33</v>
      </c>
      <c r="O323" s="4"/>
      <c r="P323" s="3"/>
      <c r="Q323" s="3"/>
      <c r="R323" s="4"/>
      <c r="S323" s="4"/>
      <c r="T323" s="4"/>
      <c r="U323" s="4"/>
      <c r="V323" s="4"/>
      <c r="W323" s="4"/>
    </row>
    <row r="324" spans="1:23" ht="15.75" x14ac:dyDescent="0.25">
      <c r="A324" s="20" t="s">
        <v>349</v>
      </c>
      <c r="B324" s="9">
        <f>SUM(C324:W324)</f>
        <v>33</v>
      </c>
      <c r="C324" s="19">
        <v>33</v>
      </c>
    </row>
    <row r="325" spans="1:23" ht="15.75" x14ac:dyDescent="0.25">
      <c r="A325" s="12" t="s">
        <v>272</v>
      </c>
      <c r="B325" s="9">
        <f>SUM(C325:W325)</f>
        <v>32.799999999999997</v>
      </c>
      <c r="C325" s="9"/>
      <c r="D325" s="9">
        <v>0</v>
      </c>
      <c r="E325" s="10">
        <v>0</v>
      </c>
      <c r="F325" s="3">
        <f>SUM(32.8)</f>
        <v>32.799999999999997</v>
      </c>
    </row>
    <row r="326" spans="1:23" ht="15.75" x14ac:dyDescent="0.25">
      <c r="A326" s="12" t="s">
        <v>275</v>
      </c>
      <c r="B326" s="9">
        <f>SUM(C326:W326)</f>
        <v>32</v>
      </c>
      <c r="C326" s="9"/>
      <c r="D326" s="9">
        <v>0</v>
      </c>
      <c r="E326" s="10">
        <v>0</v>
      </c>
      <c r="F326" s="3">
        <f>SUM(32)</f>
        <v>32</v>
      </c>
    </row>
    <row r="327" spans="1:23" ht="15.75" x14ac:dyDescent="0.25">
      <c r="A327" s="18" t="s">
        <v>276</v>
      </c>
      <c r="B327" s="9">
        <f>SUM(C327:W327)</f>
        <v>32</v>
      </c>
      <c r="C327" s="9"/>
      <c r="D327" s="9">
        <v>0</v>
      </c>
      <c r="E327" s="10">
        <v>0</v>
      </c>
      <c r="F327" s="3">
        <f>SUM(32)</f>
        <v>32</v>
      </c>
    </row>
    <row r="328" spans="1:23" ht="15.75" x14ac:dyDescent="0.25">
      <c r="A328" s="12" t="s">
        <v>277</v>
      </c>
      <c r="B328" s="9">
        <f>SUM(C328:W328)</f>
        <v>32</v>
      </c>
      <c r="C328" s="9"/>
      <c r="D328" s="9">
        <v>0</v>
      </c>
      <c r="E328" s="10">
        <v>0</v>
      </c>
      <c r="F328" s="3">
        <v>0</v>
      </c>
      <c r="G328" s="4"/>
      <c r="H328" s="3">
        <f>SUM(32)</f>
        <v>32</v>
      </c>
      <c r="I328" s="4"/>
      <c r="J328" s="4"/>
      <c r="K328" s="4"/>
      <c r="L328" s="4"/>
      <c r="M328" s="4"/>
      <c r="N328" s="4"/>
      <c r="O328" s="4"/>
      <c r="P328" s="3"/>
      <c r="Q328" s="3"/>
      <c r="R328" s="4"/>
      <c r="S328" s="4"/>
      <c r="T328" s="4"/>
      <c r="U328" s="4"/>
      <c r="V328" s="4"/>
      <c r="W328" s="4"/>
    </row>
    <row r="329" spans="1:23" ht="15.75" x14ac:dyDescent="0.25">
      <c r="A329" s="12" t="s">
        <v>278</v>
      </c>
      <c r="B329" s="9">
        <f>SUM(C329:W329)</f>
        <v>32</v>
      </c>
      <c r="C329" s="9"/>
      <c r="D329" s="9">
        <v>0</v>
      </c>
      <c r="E329" s="10">
        <v>0</v>
      </c>
      <c r="F329" s="3">
        <v>0</v>
      </c>
      <c r="G329" s="4"/>
      <c r="H329" s="3">
        <f>SUM(32)</f>
        <v>32</v>
      </c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5.75" x14ac:dyDescent="0.25">
      <c r="A330" s="12" t="s">
        <v>280</v>
      </c>
      <c r="B330" s="9">
        <f>SUM(C330:W330)</f>
        <v>32</v>
      </c>
      <c r="C330" s="9"/>
      <c r="D330" s="9">
        <v>0</v>
      </c>
      <c r="E330" s="10">
        <v>0</v>
      </c>
      <c r="F330" s="3">
        <v>0</v>
      </c>
      <c r="G330" s="4"/>
      <c r="H330" s="3">
        <f>SUM(32)</f>
        <v>32</v>
      </c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5.75" x14ac:dyDescent="0.25">
      <c r="A331" s="12" t="s">
        <v>281</v>
      </c>
      <c r="B331" s="9">
        <f>SUM(C331:W331)</f>
        <v>32</v>
      </c>
      <c r="C331" s="9"/>
      <c r="D331" s="9">
        <v>0</v>
      </c>
      <c r="E331" s="10">
        <v>0</v>
      </c>
      <c r="F331" s="3">
        <v>0</v>
      </c>
      <c r="G331" s="4"/>
      <c r="H331" s="4"/>
      <c r="I331" s="4"/>
      <c r="J331" s="4"/>
      <c r="K331" s="4"/>
      <c r="L331" s="4"/>
      <c r="M331" s="3">
        <v>32</v>
      </c>
      <c r="N331" s="4"/>
      <c r="O331" s="4"/>
      <c r="P331" s="3"/>
      <c r="Q331" s="3"/>
      <c r="R331" s="4"/>
      <c r="S331" s="4"/>
      <c r="T331" s="4"/>
      <c r="U331" s="4"/>
      <c r="V331" s="4"/>
      <c r="W331" s="4"/>
    </row>
    <row r="332" spans="1:23" ht="15.75" x14ac:dyDescent="0.25">
      <c r="A332" s="12" t="s">
        <v>282</v>
      </c>
      <c r="B332" s="9">
        <f>SUM(C332:W332)</f>
        <v>32</v>
      </c>
      <c r="C332" s="9"/>
      <c r="D332" s="9">
        <v>0</v>
      </c>
      <c r="E332" s="10">
        <v>0</v>
      </c>
      <c r="F332" s="3">
        <v>0</v>
      </c>
      <c r="G332" s="4"/>
      <c r="H332" s="4"/>
      <c r="I332" s="4"/>
      <c r="J332" s="4"/>
      <c r="K332" s="4"/>
      <c r="L332" s="4"/>
      <c r="M332" s="3">
        <v>32</v>
      </c>
      <c r="N332" s="4"/>
      <c r="O332" s="4"/>
      <c r="P332" s="3"/>
      <c r="Q332" s="3"/>
      <c r="R332" s="4"/>
      <c r="S332" s="4"/>
      <c r="T332" s="4"/>
      <c r="U332" s="4"/>
      <c r="V332" s="4"/>
      <c r="W332" s="4"/>
    </row>
    <row r="333" spans="1:23" ht="15.75" x14ac:dyDescent="0.25">
      <c r="A333" s="12" t="s">
        <v>283</v>
      </c>
      <c r="B333" s="9">
        <f>SUM(C333:W333)</f>
        <v>32</v>
      </c>
      <c r="C333" s="9"/>
      <c r="D333" s="9">
        <v>0</v>
      </c>
      <c r="E333" s="10">
        <v>0</v>
      </c>
      <c r="F333" s="3">
        <v>0</v>
      </c>
      <c r="G333" s="4"/>
      <c r="H333" s="4"/>
      <c r="I333" s="4"/>
      <c r="J333" s="4"/>
      <c r="K333" s="4"/>
      <c r="L333" s="4"/>
      <c r="M333" s="4"/>
      <c r="N333" s="3">
        <v>32</v>
      </c>
      <c r="O333" s="4"/>
      <c r="P333" s="3"/>
      <c r="Q333" s="3"/>
      <c r="R333" s="4"/>
      <c r="S333" s="4"/>
      <c r="T333" s="4"/>
      <c r="U333" s="4"/>
      <c r="V333" s="4"/>
      <c r="W333" s="4"/>
    </row>
    <row r="334" spans="1:23" ht="15.75" x14ac:dyDescent="0.25">
      <c r="A334" s="12" t="s">
        <v>284</v>
      </c>
      <c r="B334" s="9">
        <f>SUM(C334:W334)</f>
        <v>32</v>
      </c>
      <c r="C334" s="9"/>
      <c r="D334" s="9">
        <v>0</v>
      </c>
      <c r="E334" s="10">
        <v>0</v>
      </c>
      <c r="F334" s="3">
        <v>0</v>
      </c>
      <c r="G334" s="4"/>
      <c r="H334" s="4"/>
      <c r="I334" s="4"/>
      <c r="J334" s="4"/>
      <c r="K334" s="4"/>
      <c r="L334" s="4"/>
      <c r="M334" s="3">
        <v>32</v>
      </c>
      <c r="N334" s="4"/>
      <c r="O334" s="4"/>
      <c r="P334" s="3"/>
      <c r="Q334" s="3"/>
      <c r="R334" s="4"/>
      <c r="S334" s="4"/>
      <c r="T334" s="4"/>
      <c r="U334" s="4"/>
      <c r="V334" s="4"/>
      <c r="W334" s="4"/>
    </row>
    <row r="335" spans="1:23" ht="15.75" x14ac:dyDescent="0.25">
      <c r="A335" s="12" t="s">
        <v>341</v>
      </c>
      <c r="B335" s="9">
        <f>SUM(C335:W335)</f>
        <v>32</v>
      </c>
      <c r="C335" s="9"/>
      <c r="D335" s="17">
        <v>32</v>
      </c>
      <c r="E335" s="15"/>
    </row>
    <row r="336" spans="1:23" ht="15.75" x14ac:dyDescent="0.25">
      <c r="A336" s="12" t="s">
        <v>342</v>
      </c>
      <c r="B336" s="9">
        <f>SUM(C336:W336)</f>
        <v>32</v>
      </c>
      <c r="C336" s="9"/>
      <c r="D336" s="17">
        <v>32</v>
      </c>
      <c r="E336" s="15"/>
    </row>
    <row r="337" spans="1:23" ht="15.75" x14ac:dyDescent="0.25">
      <c r="A337" s="12" t="s">
        <v>343</v>
      </c>
      <c r="B337" s="9">
        <f>SUM(C337:W337)</f>
        <v>32</v>
      </c>
      <c r="C337" s="9"/>
      <c r="D337" s="17">
        <v>32</v>
      </c>
      <c r="E337" s="15"/>
    </row>
    <row r="338" spans="1:23" ht="15.75" x14ac:dyDescent="0.25">
      <c r="A338" s="12" t="s">
        <v>344</v>
      </c>
      <c r="B338" s="9">
        <f>SUM(C338:W338)</f>
        <v>32</v>
      </c>
      <c r="C338" s="9"/>
      <c r="D338" s="17">
        <v>32</v>
      </c>
      <c r="E338" s="15"/>
    </row>
    <row r="339" spans="1:23" ht="15.75" x14ac:dyDescent="0.25">
      <c r="A339" s="20" t="s">
        <v>354</v>
      </c>
      <c r="B339" s="9">
        <f>SUM(C339:W339)</f>
        <v>32</v>
      </c>
      <c r="C339" s="19">
        <v>32</v>
      </c>
    </row>
    <row r="340" spans="1:23" ht="15.75" x14ac:dyDescent="0.25">
      <c r="A340" s="20" t="s">
        <v>357</v>
      </c>
      <c r="B340" s="9">
        <f>SUM(C340:W340)</f>
        <v>32</v>
      </c>
      <c r="C340" s="19">
        <v>32</v>
      </c>
    </row>
    <row r="341" spans="1:23" ht="15.75" x14ac:dyDescent="0.25">
      <c r="A341" s="20" t="s">
        <v>367</v>
      </c>
      <c r="B341" s="9">
        <f>SUM(C341:W341)</f>
        <v>32</v>
      </c>
      <c r="C341" s="19">
        <v>32</v>
      </c>
    </row>
    <row r="342" spans="1:23" ht="15.75" x14ac:dyDescent="0.25">
      <c r="A342" s="20" t="s">
        <v>368</v>
      </c>
      <c r="B342" s="9">
        <f>SUM(C342:W342)</f>
        <v>32</v>
      </c>
      <c r="C342" s="19">
        <v>32</v>
      </c>
    </row>
    <row r="343" spans="1:23" ht="15.75" x14ac:dyDescent="0.25">
      <c r="A343" s="20" t="s">
        <v>369</v>
      </c>
      <c r="B343" s="9">
        <f>SUM(C343:W343)</f>
        <v>32</v>
      </c>
      <c r="C343" s="19">
        <v>32</v>
      </c>
    </row>
    <row r="344" spans="1:23" ht="15.75" x14ac:dyDescent="0.25">
      <c r="A344" s="20" t="s">
        <v>370</v>
      </c>
      <c r="B344" s="9">
        <f>SUM(C344:W344)</f>
        <v>32</v>
      </c>
      <c r="C344" s="19">
        <v>32</v>
      </c>
    </row>
    <row r="345" spans="1:23" ht="15.75" x14ac:dyDescent="0.25">
      <c r="A345" s="20" t="s">
        <v>383</v>
      </c>
      <c r="B345" s="9">
        <f>SUM(C345:W345)</f>
        <v>32</v>
      </c>
      <c r="C345" s="19">
        <v>32</v>
      </c>
    </row>
    <row r="346" spans="1:23" ht="15.75" x14ac:dyDescent="0.25">
      <c r="A346" s="20" t="s">
        <v>384</v>
      </c>
      <c r="B346" s="9">
        <f>SUM(C346:W346)</f>
        <v>32</v>
      </c>
      <c r="C346" s="19">
        <v>32</v>
      </c>
    </row>
    <row r="347" spans="1:23" ht="15.75" x14ac:dyDescent="0.25">
      <c r="A347" s="20" t="s">
        <v>385</v>
      </c>
      <c r="B347" s="9">
        <f>SUM(C347:W347)</f>
        <v>32</v>
      </c>
      <c r="C347" s="19">
        <v>32</v>
      </c>
    </row>
    <row r="348" spans="1:23" ht="15.75" x14ac:dyDescent="0.25">
      <c r="A348" s="20" t="s">
        <v>386</v>
      </c>
      <c r="B348" s="9">
        <f>SUM(C348:W348)</f>
        <v>32</v>
      </c>
      <c r="C348" s="19">
        <v>32</v>
      </c>
    </row>
    <row r="349" spans="1:23" ht="15.75" x14ac:dyDescent="0.25">
      <c r="A349" s="12" t="s">
        <v>285</v>
      </c>
      <c r="B349" s="9">
        <f>SUM(C349:W349)</f>
        <v>31.6</v>
      </c>
      <c r="C349" s="9"/>
      <c r="D349" s="9">
        <v>0</v>
      </c>
      <c r="E349" s="10">
        <v>0</v>
      </c>
      <c r="F349" s="3">
        <v>0</v>
      </c>
      <c r="G349" s="3">
        <f>SUM(31.6)</f>
        <v>31.6</v>
      </c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5.75" x14ac:dyDescent="0.25">
      <c r="A350" s="12" t="s">
        <v>286</v>
      </c>
      <c r="B350" s="9">
        <f>SUM(C350:W350)</f>
        <v>31</v>
      </c>
      <c r="C350" s="9"/>
      <c r="D350" s="9">
        <v>0</v>
      </c>
      <c r="E350" s="10">
        <v>0</v>
      </c>
      <c r="F350" s="3">
        <f>SUM(31)</f>
        <v>31</v>
      </c>
    </row>
    <row r="351" spans="1:23" ht="15.75" x14ac:dyDescent="0.25">
      <c r="A351" s="12" t="s">
        <v>287</v>
      </c>
      <c r="B351" s="9">
        <f>SUM(C351:W351)</f>
        <v>31</v>
      </c>
      <c r="C351" s="9"/>
      <c r="D351" s="9">
        <v>0</v>
      </c>
      <c r="E351" s="10">
        <v>0</v>
      </c>
      <c r="F351" s="3">
        <f>SUM(31)</f>
        <v>31</v>
      </c>
    </row>
    <row r="352" spans="1:23" ht="15.75" x14ac:dyDescent="0.25">
      <c r="A352" s="12" t="s">
        <v>288</v>
      </c>
      <c r="B352" s="9">
        <f>SUM(C352:W352)</f>
        <v>31</v>
      </c>
      <c r="C352" s="9"/>
      <c r="D352" s="9">
        <v>0</v>
      </c>
      <c r="E352" s="10">
        <v>0</v>
      </c>
      <c r="F352" s="3">
        <v>0</v>
      </c>
      <c r="G352" s="3">
        <f>SUM(31)</f>
        <v>31</v>
      </c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17" ht="15.75" x14ac:dyDescent="0.25">
      <c r="A353" s="12" t="s">
        <v>289</v>
      </c>
      <c r="B353" s="9">
        <f>SUM(C353:W353)</f>
        <v>31</v>
      </c>
      <c r="C353" s="9"/>
      <c r="D353" s="9">
        <v>0</v>
      </c>
      <c r="E353" s="10">
        <v>0</v>
      </c>
      <c r="F353" s="3">
        <v>0</v>
      </c>
      <c r="H353" s="4"/>
      <c r="N353" s="4"/>
      <c r="O353" s="4"/>
      <c r="P353" s="3"/>
      <c r="Q353" s="3">
        <v>31</v>
      </c>
    </row>
    <row r="354" spans="1:17" ht="15.75" x14ac:dyDescent="0.25">
      <c r="A354" s="12" t="s">
        <v>330</v>
      </c>
      <c r="B354" s="9">
        <f>SUM(C354:W354)</f>
        <v>31</v>
      </c>
      <c r="C354" s="9"/>
      <c r="D354" s="17">
        <v>31</v>
      </c>
      <c r="E354" s="15"/>
    </row>
    <row r="355" spans="1:17" ht="15.75" x14ac:dyDescent="0.25">
      <c r="A355" s="12" t="s">
        <v>331</v>
      </c>
      <c r="B355" s="9">
        <f>SUM(C355:W355)</f>
        <v>31</v>
      </c>
      <c r="C355" s="9"/>
      <c r="D355" s="17">
        <v>31</v>
      </c>
      <c r="E355" s="15"/>
    </row>
    <row r="356" spans="1:17" ht="15.75" x14ac:dyDescent="0.25">
      <c r="A356" s="12" t="s">
        <v>332</v>
      </c>
      <c r="B356" s="9">
        <f>SUM(C356:W356)</f>
        <v>31</v>
      </c>
      <c r="C356" s="9"/>
      <c r="D356" s="17">
        <v>31</v>
      </c>
      <c r="E356" s="15"/>
    </row>
    <row r="357" spans="1:17" ht="15.75" x14ac:dyDescent="0.25">
      <c r="A357" s="12" t="s">
        <v>337</v>
      </c>
      <c r="B357" s="9">
        <f>SUM(C357:W357)</f>
        <v>31</v>
      </c>
      <c r="C357" s="9"/>
      <c r="D357" s="17">
        <v>31</v>
      </c>
      <c r="E357" s="15"/>
    </row>
    <row r="358" spans="1:17" ht="15.75" x14ac:dyDescent="0.25">
      <c r="A358" s="12" t="s">
        <v>339</v>
      </c>
      <c r="B358" s="9">
        <f>SUM(C358:W358)</f>
        <v>31</v>
      </c>
      <c r="C358" s="9"/>
      <c r="D358" s="17">
        <v>31</v>
      </c>
      <c r="E358" s="15"/>
    </row>
    <row r="359" spans="1:17" ht="15.75" x14ac:dyDescent="0.25">
      <c r="A359" s="20" t="s">
        <v>372</v>
      </c>
      <c r="B359" s="9">
        <f>SUM(C359:W359)</f>
        <v>31</v>
      </c>
      <c r="C359" s="19">
        <v>31</v>
      </c>
    </row>
    <row r="360" spans="1:17" ht="15.75" x14ac:dyDescent="0.25">
      <c r="A360" s="20" t="s">
        <v>373</v>
      </c>
      <c r="B360" s="9">
        <f>SUM(C360:W360)</f>
        <v>31</v>
      </c>
      <c r="C360" s="19">
        <v>31</v>
      </c>
    </row>
    <row r="361" spans="1:17" ht="15.75" x14ac:dyDescent="0.25">
      <c r="A361" s="20" t="s">
        <v>374</v>
      </c>
      <c r="B361" s="9">
        <f>SUM(C361:W361)</f>
        <v>31</v>
      </c>
      <c r="C361" s="19">
        <v>31</v>
      </c>
    </row>
    <row r="362" spans="1:17" ht="15.75" x14ac:dyDescent="0.25">
      <c r="A362" s="20" t="s">
        <v>375</v>
      </c>
      <c r="B362" s="9">
        <f>SUM(C362:W362)</f>
        <v>31</v>
      </c>
      <c r="C362" s="19">
        <v>31</v>
      </c>
    </row>
    <row r="363" spans="1:17" ht="15.75" x14ac:dyDescent="0.25">
      <c r="A363" s="20" t="s">
        <v>377</v>
      </c>
      <c r="B363" s="9">
        <f>SUM(C363:W363)</f>
        <v>31</v>
      </c>
      <c r="C363" s="19">
        <v>31</v>
      </c>
    </row>
    <row r="364" spans="1:17" ht="15.75" x14ac:dyDescent="0.25">
      <c r="A364" s="20" t="s">
        <v>378</v>
      </c>
      <c r="B364" s="9">
        <f>SUM(C364:W364)</f>
        <v>31</v>
      </c>
      <c r="C364" s="19">
        <v>31</v>
      </c>
    </row>
    <row r="365" spans="1:17" ht="15.75" x14ac:dyDescent="0.25">
      <c r="A365" s="20" t="s">
        <v>379</v>
      </c>
      <c r="B365" s="9">
        <f>SUM(C365:W365)</f>
        <v>31</v>
      </c>
      <c r="C365" s="19">
        <v>31</v>
      </c>
    </row>
    <row r="366" spans="1:17" ht="15.75" x14ac:dyDescent="0.25">
      <c r="A366" s="20" t="s">
        <v>380</v>
      </c>
      <c r="B366" s="9">
        <f>SUM(C366:W366)</f>
        <v>31</v>
      </c>
      <c r="C366" s="19">
        <v>31</v>
      </c>
    </row>
    <row r="367" spans="1:17" ht="15.75" x14ac:dyDescent="0.25">
      <c r="A367" s="20" t="s">
        <v>381</v>
      </c>
      <c r="B367" s="9">
        <f>SUM(C367:W367)</f>
        <v>31</v>
      </c>
      <c r="C367" s="19">
        <v>31</v>
      </c>
    </row>
    <row r="368" spans="1:17" ht="15.75" x14ac:dyDescent="0.25">
      <c r="A368" s="20" t="s">
        <v>382</v>
      </c>
      <c r="B368" s="9">
        <f>SUM(C368:W368)</f>
        <v>31</v>
      </c>
      <c r="C368" s="19">
        <v>31</v>
      </c>
    </row>
    <row r="369" spans="1:17" ht="15.75" x14ac:dyDescent="0.25">
      <c r="A369" s="12" t="s">
        <v>290</v>
      </c>
      <c r="B369" s="9">
        <f>SUM(C369:W369)</f>
        <v>30.5</v>
      </c>
      <c r="C369" s="9"/>
      <c r="D369" s="9">
        <v>0</v>
      </c>
      <c r="E369" s="10">
        <f>SUM(30.5)</f>
        <v>30.5</v>
      </c>
    </row>
    <row r="370" spans="1:17" ht="15.75" x14ac:dyDescent="0.25">
      <c r="A370" s="12" t="s">
        <v>292</v>
      </c>
      <c r="B370" s="9">
        <f>SUM(C370:W370)</f>
        <v>30.5</v>
      </c>
      <c r="C370" s="9"/>
      <c r="D370" s="9">
        <v>0</v>
      </c>
      <c r="E370" s="10">
        <f>SUM(30.5)</f>
        <v>30.5</v>
      </c>
    </row>
    <row r="371" spans="1:17" ht="15.75" x14ac:dyDescent="0.25">
      <c r="A371" s="12" t="s">
        <v>295</v>
      </c>
      <c r="B371" s="9">
        <f>SUM(C371:W371)</f>
        <v>30.5</v>
      </c>
      <c r="C371" s="9"/>
      <c r="D371" s="9">
        <v>0</v>
      </c>
      <c r="E371" s="10">
        <f>SUM(30.5)</f>
        <v>30.5</v>
      </c>
    </row>
    <row r="372" spans="1:17" ht="15.75" x14ac:dyDescent="0.25">
      <c r="A372" s="12" t="s">
        <v>296</v>
      </c>
      <c r="B372" s="9">
        <f>SUM(C372:W372)</f>
        <v>30.5</v>
      </c>
      <c r="C372" s="9"/>
      <c r="D372" s="9">
        <v>0</v>
      </c>
      <c r="E372" s="10">
        <f>SUM(30.5)</f>
        <v>30.5</v>
      </c>
    </row>
    <row r="373" spans="1:17" ht="15.75" x14ac:dyDescent="0.25">
      <c r="A373" s="12" t="s">
        <v>298</v>
      </c>
      <c r="B373" s="9">
        <f>SUM(C373:W373)</f>
        <v>30.5</v>
      </c>
      <c r="C373" s="9"/>
      <c r="D373" s="9">
        <v>0</v>
      </c>
      <c r="E373" s="10">
        <f>SUM(30.5)</f>
        <v>30.5</v>
      </c>
    </row>
    <row r="374" spans="1:17" ht="15.75" x14ac:dyDescent="0.25">
      <c r="A374" s="12" t="s">
        <v>299</v>
      </c>
      <c r="B374" s="9">
        <f>SUM(C374:W374)</f>
        <v>30.5</v>
      </c>
      <c r="C374" s="9"/>
      <c r="D374" s="9">
        <v>0</v>
      </c>
      <c r="E374" s="10">
        <f>SUM(30.5)</f>
        <v>30.5</v>
      </c>
    </row>
    <row r="375" spans="1:17" ht="15.75" x14ac:dyDescent="0.25">
      <c r="A375" s="12" t="s">
        <v>300</v>
      </c>
      <c r="B375" s="9">
        <f>SUM(C375:W375)</f>
        <v>30</v>
      </c>
      <c r="C375" s="9"/>
      <c r="D375" s="9">
        <v>0</v>
      </c>
      <c r="E375" s="10">
        <v>0</v>
      </c>
      <c r="F375" s="3">
        <f>SUM(30)</f>
        <v>30</v>
      </c>
    </row>
    <row r="376" spans="1:17" ht="15.75" x14ac:dyDescent="0.25">
      <c r="A376" s="12" t="s">
        <v>301</v>
      </c>
      <c r="B376" s="9">
        <f>SUM(C376:W376)</f>
        <v>30</v>
      </c>
      <c r="C376" s="9"/>
      <c r="D376" s="9">
        <v>0</v>
      </c>
      <c r="E376" s="10">
        <v>0</v>
      </c>
      <c r="F376" s="3">
        <v>0</v>
      </c>
      <c r="H376" s="3">
        <f>SUM(30)</f>
        <v>30</v>
      </c>
      <c r="N376" s="4"/>
      <c r="O376" s="4"/>
      <c r="P376" s="4"/>
      <c r="Q376" s="4"/>
    </row>
    <row r="377" spans="1:17" ht="15.75" x14ac:dyDescent="0.25">
      <c r="A377" s="12" t="s">
        <v>302</v>
      </c>
      <c r="B377" s="9">
        <f>SUM(C377:W377)</f>
        <v>30</v>
      </c>
      <c r="C377" s="9"/>
      <c r="D377" s="9">
        <v>0</v>
      </c>
      <c r="E377" s="10">
        <v>0</v>
      </c>
      <c r="F377" s="3">
        <v>0</v>
      </c>
      <c r="H377" s="3">
        <f>SUM(30)</f>
        <v>30</v>
      </c>
      <c r="N377" s="4"/>
      <c r="O377" s="4"/>
      <c r="P377" s="4"/>
      <c r="Q377" s="4"/>
    </row>
    <row r="378" spans="1:17" ht="15.75" x14ac:dyDescent="0.25">
      <c r="A378" s="12" t="s">
        <v>303</v>
      </c>
      <c r="B378" s="9">
        <f>SUM(C378:W378)</f>
        <v>30</v>
      </c>
      <c r="C378" s="9"/>
      <c r="D378" s="9">
        <v>0</v>
      </c>
      <c r="E378" s="10">
        <v>0</v>
      </c>
      <c r="F378" s="3">
        <v>0</v>
      </c>
      <c r="N378" s="4"/>
      <c r="O378" s="3">
        <v>30</v>
      </c>
      <c r="P378" s="3"/>
      <c r="Q378" s="3"/>
    </row>
    <row r="379" spans="1:17" ht="15.75" x14ac:dyDescent="0.25">
      <c r="A379" s="12" t="s">
        <v>304</v>
      </c>
      <c r="B379" s="9">
        <f>SUM(C379:W379)</f>
        <v>30</v>
      </c>
      <c r="C379" s="9"/>
      <c r="D379" s="9">
        <v>0</v>
      </c>
      <c r="E379" s="10">
        <v>0</v>
      </c>
      <c r="F379" s="3">
        <v>0</v>
      </c>
      <c r="N379" s="4"/>
      <c r="O379" s="3">
        <v>30</v>
      </c>
      <c r="P379" s="3"/>
      <c r="Q379" s="3"/>
    </row>
    <row r="380" spans="1:17" ht="15.75" x14ac:dyDescent="0.25">
      <c r="A380" s="12" t="s">
        <v>305</v>
      </c>
      <c r="B380" s="9">
        <f>SUM(C380:W380)</f>
        <v>30</v>
      </c>
      <c r="C380" s="9"/>
      <c r="D380" s="9">
        <v>0</v>
      </c>
      <c r="E380" s="10">
        <v>0</v>
      </c>
      <c r="F380" s="3">
        <v>0</v>
      </c>
      <c r="N380" s="3">
        <v>30</v>
      </c>
      <c r="P380" s="3"/>
      <c r="Q380" s="3"/>
    </row>
    <row r="381" spans="1:17" ht="15.75" x14ac:dyDescent="0.25">
      <c r="A381" s="12" t="s">
        <v>306</v>
      </c>
      <c r="B381" s="9">
        <f>SUM(C381:W381)</f>
        <v>30</v>
      </c>
      <c r="C381" s="9"/>
      <c r="D381" s="9">
        <v>0</v>
      </c>
      <c r="E381" s="10">
        <v>0</v>
      </c>
      <c r="F381" s="3">
        <v>0</v>
      </c>
      <c r="N381" s="3">
        <v>30</v>
      </c>
      <c r="P381" s="3"/>
      <c r="Q381" s="3"/>
    </row>
    <row r="382" spans="1:17" ht="15.75" x14ac:dyDescent="0.25">
      <c r="A382" s="12" t="s">
        <v>307</v>
      </c>
      <c r="B382" s="9">
        <f>SUM(C382:W382)</f>
        <v>30</v>
      </c>
      <c r="C382" s="9"/>
      <c r="D382" s="9">
        <v>0</v>
      </c>
      <c r="E382" s="10">
        <f>SUM(30)</f>
        <v>30</v>
      </c>
    </row>
    <row r="383" spans="1:17" ht="15.75" x14ac:dyDescent="0.25">
      <c r="A383" s="12" t="s">
        <v>308</v>
      </c>
      <c r="B383" s="9">
        <f>SUM(C383:W383)</f>
        <v>30</v>
      </c>
      <c r="C383" s="9"/>
      <c r="D383" s="9">
        <v>0</v>
      </c>
      <c r="E383" s="10">
        <f>SUM(30)</f>
        <v>30</v>
      </c>
    </row>
    <row r="384" spans="1:17" ht="15.75" x14ac:dyDescent="0.25">
      <c r="A384" s="12" t="s">
        <v>310</v>
      </c>
      <c r="B384" s="9">
        <f>SUM(C384:W384)</f>
        <v>30</v>
      </c>
      <c r="C384" s="9"/>
      <c r="D384" s="9">
        <v>0</v>
      </c>
      <c r="E384" s="10">
        <f>SUM(30)</f>
        <v>30</v>
      </c>
    </row>
    <row r="385" spans="1:5" ht="15.75" x14ac:dyDescent="0.25">
      <c r="A385" s="12" t="s">
        <v>311</v>
      </c>
      <c r="B385" s="9">
        <f>SUM(C385:W385)</f>
        <v>30</v>
      </c>
      <c r="C385" s="9"/>
      <c r="D385" s="9">
        <v>0</v>
      </c>
      <c r="E385" s="10">
        <f>SUM(30)</f>
        <v>30</v>
      </c>
    </row>
    <row r="386" spans="1:5" ht="15.75" x14ac:dyDescent="0.25">
      <c r="A386" s="12" t="s">
        <v>312</v>
      </c>
      <c r="B386" s="9">
        <f>SUM(C386:W386)</f>
        <v>30</v>
      </c>
      <c r="C386" s="9"/>
      <c r="D386" s="9">
        <v>0</v>
      </c>
      <c r="E386" s="10">
        <f>SUM(30)</f>
        <v>30</v>
      </c>
    </row>
  </sheetData>
  <sheetProtection selectLockedCells="1" selectUnlockedCells="1"/>
  <sortState ref="A2:W386">
    <sortCondition descending="1" ref="B2"/>
  </sortState>
  <pageMargins left="0.7" right="0.7" top="1.14375" bottom="1.143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Waal WW</dc:creator>
  <cp:lastModifiedBy>Doris</cp:lastModifiedBy>
  <dcterms:created xsi:type="dcterms:W3CDTF">2018-12-04T19:38:31Z</dcterms:created>
  <dcterms:modified xsi:type="dcterms:W3CDTF">2020-01-06T12:00:56Z</dcterms:modified>
</cp:coreProperties>
</file>