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i\Documents\"/>
    </mc:Choice>
  </mc:AlternateContent>
  <bookViews>
    <workbookView xWindow="0" yWindow="0" windowWidth="24000" windowHeight="9285"/>
  </bookViews>
  <sheets>
    <sheet name="Sheet1" sheetId="1" r:id="rId1"/>
  </sheets>
  <calcPr calcId="171027" fullCalcOnLoad="1" iterateDelta="1E-4"/>
</workbook>
</file>

<file path=xl/calcChain.xml><?xml version="1.0" encoding="utf-8"?>
<calcChain xmlns="http://schemas.openxmlformats.org/spreadsheetml/2006/main">
  <c r="B323" i="1" l="1"/>
  <c r="B322" i="1"/>
  <c r="B321" i="1"/>
  <c r="B320" i="1"/>
  <c r="B319" i="1"/>
  <c r="B318" i="1"/>
  <c r="B317" i="1"/>
  <c r="B316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315" i="1"/>
  <c r="B315" i="1"/>
  <c r="C314" i="1"/>
  <c r="B314" i="1"/>
  <c r="C313" i="1"/>
  <c r="B313" i="1"/>
  <c r="C196" i="1"/>
  <c r="B196" i="1"/>
  <c r="C195" i="1"/>
  <c r="B195" i="1"/>
  <c r="C312" i="1"/>
  <c r="B312" i="1"/>
  <c r="C311" i="1"/>
  <c r="B311" i="1"/>
  <c r="C194" i="1"/>
  <c r="B194" i="1"/>
  <c r="C226" i="1"/>
  <c r="B226" i="1"/>
  <c r="C188" i="1"/>
  <c r="B188" i="1"/>
  <c r="F77" i="1"/>
  <c r="E77" i="1"/>
  <c r="D77" i="1"/>
  <c r="C77" i="1"/>
  <c r="B77" i="1" s="1"/>
  <c r="C115" i="1"/>
  <c r="B115" i="1" s="1"/>
  <c r="C199" i="1"/>
  <c r="B199" i="1" s="1"/>
  <c r="C166" i="1"/>
  <c r="B166" i="1"/>
  <c r="D72" i="1"/>
  <c r="C72" i="1"/>
  <c r="B72" i="1" s="1"/>
  <c r="C310" i="1"/>
  <c r="B310" i="1"/>
  <c r="C190" i="1"/>
  <c r="B190" i="1" s="1"/>
  <c r="C189" i="1"/>
  <c r="B189" i="1"/>
  <c r="C144" i="1"/>
  <c r="B144" i="1" s="1"/>
  <c r="C210" i="1"/>
  <c r="B210" i="1"/>
  <c r="D89" i="1"/>
  <c r="B89" i="1" s="1"/>
  <c r="C89" i="1"/>
  <c r="C145" i="1"/>
  <c r="B145" i="1" s="1"/>
  <c r="C157" i="1"/>
  <c r="B157" i="1"/>
  <c r="C79" i="1"/>
  <c r="B79" i="1" s="1"/>
  <c r="B309" i="1"/>
  <c r="B308" i="1"/>
  <c r="B307" i="1"/>
  <c r="B306" i="1"/>
  <c r="F305" i="1"/>
  <c r="B305" i="1" s="1"/>
  <c r="F304" i="1"/>
  <c r="B304" i="1" s="1"/>
  <c r="D303" i="1"/>
  <c r="B303" i="1"/>
  <c r="D225" i="1"/>
  <c r="B225" i="1" s="1"/>
  <c r="C225" i="1"/>
  <c r="D187" i="1"/>
  <c r="C187" i="1"/>
  <c r="B187" i="1" s="1"/>
  <c r="B292" i="1"/>
  <c r="E291" i="1"/>
  <c r="B291" i="1"/>
  <c r="D290" i="1"/>
  <c r="B290" i="1"/>
  <c r="D289" i="1"/>
  <c r="B289" i="1"/>
  <c r="E288" i="1"/>
  <c r="B288" i="1"/>
  <c r="B287" i="1"/>
  <c r="B286" i="1"/>
  <c r="B285" i="1"/>
  <c r="B284" i="1"/>
  <c r="F283" i="1"/>
  <c r="B283" i="1"/>
  <c r="F282" i="1"/>
  <c r="B282" i="1"/>
  <c r="C224" i="1"/>
  <c r="B224" i="1"/>
  <c r="F281" i="1"/>
  <c r="B281" i="1"/>
  <c r="F280" i="1"/>
  <c r="B280" i="1"/>
  <c r="D223" i="1"/>
  <c r="C223" i="1"/>
  <c r="B223" i="1" s="1"/>
  <c r="D279" i="1"/>
  <c r="B279" i="1" s="1"/>
  <c r="D169" i="1"/>
  <c r="C169" i="1"/>
  <c r="B169" i="1"/>
  <c r="D278" i="1"/>
  <c r="B278" i="1"/>
  <c r="D198" i="1"/>
  <c r="C198" i="1"/>
  <c r="B198" i="1" s="1"/>
  <c r="D214" i="1"/>
  <c r="C214" i="1"/>
  <c r="B214" i="1"/>
  <c r="D277" i="1"/>
  <c r="B277" i="1"/>
  <c r="D276" i="1"/>
  <c r="B276" i="1"/>
  <c r="D275" i="1"/>
  <c r="B275" i="1"/>
  <c r="B274" i="1"/>
  <c r="B273" i="1"/>
  <c r="B272" i="1"/>
  <c r="E193" i="1"/>
  <c r="C193" i="1"/>
  <c r="B193" i="1"/>
  <c r="E271" i="1"/>
  <c r="B271" i="1"/>
  <c r="B270" i="1"/>
  <c r="B269" i="1"/>
  <c r="B268" i="1"/>
  <c r="B267" i="1"/>
  <c r="F266" i="1"/>
  <c r="B266" i="1"/>
  <c r="F265" i="1"/>
  <c r="B265" i="1"/>
  <c r="F264" i="1"/>
  <c r="B264" i="1"/>
  <c r="F263" i="1"/>
  <c r="B263" i="1"/>
  <c r="F262" i="1"/>
  <c r="B262" i="1"/>
  <c r="F261" i="1"/>
  <c r="B261" i="1"/>
  <c r="F260" i="1"/>
  <c r="B260" i="1"/>
  <c r="E259" i="1"/>
  <c r="B259" i="1"/>
  <c r="E258" i="1"/>
  <c r="B258" i="1"/>
  <c r="E257" i="1"/>
  <c r="B257" i="1"/>
  <c r="E256" i="1"/>
  <c r="B256" i="1"/>
  <c r="D255" i="1"/>
  <c r="B255" i="1"/>
  <c r="D254" i="1"/>
  <c r="B254" i="1"/>
  <c r="B253" i="1"/>
  <c r="B252" i="1"/>
  <c r="B251" i="1"/>
  <c r="E250" i="1"/>
  <c r="B250" i="1" s="1"/>
  <c r="F249" i="1"/>
  <c r="B249" i="1" s="1"/>
  <c r="B248" i="1"/>
  <c r="B247" i="1"/>
  <c r="B246" i="1"/>
  <c r="F245" i="1"/>
  <c r="B245" i="1"/>
  <c r="F244" i="1"/>
  <c r="B244" i="1"/>
  <c r="E243" i="1"/>
  <c r="B243" i="1"/>
  <c r="B242" i="1"/>
  <c r="B241" i="1"/>
  <c r="D240" i="1"/>
  <c r="B240" i="1"/>
  <c r="B239" i="1"/>
  <c r="B238" i="1"/>
  <c r="B237" i="1"/>
  <c r="B236" i="1"/>
  <c r="B235" i="1"/>
  <c r="E234" i="1"/>
  <c r="B234" i="1" s="1"/>
  <c r="E233" i="1"/>
  <c r="B233" i="1" s="1"/>
  <c r="B232" i="1"/>
  <c r="B231" i="1"/>
  <c r="B230" i="1"/>
  <c r="B229" i="1"/>
  <c r="B228" i="1"/>
  <c r="B227" i="1"/>
  <c r="F222" i="1"/>
  <c r="B222" i="1" s="1"/>
  <c r="F128" i="1"/>
  <c r="C128" i="1"/>
  <c r="B128" i="1"/>
  <c r="E221" i="1"/>
  <c r="B221" i="1"/>
  <c r="F220" i="1"/>
  <c r="E220" i="1"/>
  <c r="B220" i="1" s="1"/>
  <c r="B219" i="1"/>
  <c r="F150" i="1"/>
  <c r="D150" i="1"/>
  <c r="B150" i="1" s="1"/>
  <c r="C150" i="1"/>
  <c r="F218" i="1"/>
  <c r="D218" i="1"/>
  <c r="B218" i="1" s="1"/>
  <c r="D217" i="1"/>
  <c r="B217" i="1" s="1"/>
  <c r="D216" i="1"/>
  <c r="B216" i="1" s="1"/>
  <c r="D215" i="1"/>
  <c r="B215" i="1" s="1"/>
  <c r="B213" i="1"/>
  <c r="E212" i="1"/>
  <c r="B212" i="1"/>
  <c r="E176" i="1"/>
  <c r="C176" i="1"/>
  <c r="B176" i="1" s="1"/>
  <c r="B211" i="1"/>
  <c r="D90" i="1"/>
  <c r="C90" i="1"/>
  <c r="B90" i="1" s="1"/>
  <c r="D45" i="1"/>
  <c r="C45" i="1"/>
  <c r="B45" i="1"/>
  <c r="B209" i="1"/>
  <c r="D208" i="1"/>
  <c r="B208" i="1" s="1"/>
  <c r="B207" i="1"/>
  <c r="D206" i="1"/>
  <c r="B206" i="1"/>
  <c r="B205" i="1"/>
  <c r="F204" i="1"/>
  <c r="B204" i="1" s="1"/>
  <c r="D203" i="1"/>
  <c r="B203" i="1" s="1"/>
  <c r="F202" i="1"/>
  <c r="B202" i="1" s="1"/>
  <c r="D202" i="1"/>
  <c r="E201" i="1"/>
  <c r="B201" i="1"/>
  <c r="F200" i="1"/>
  <c r="B200" i="1"/>
  <c r="E197" i="1"/>
  <c r="B197" i="1"/>
  <c r="B192" i="1"/>
  <c r="F191" i="1"/>
  <c r="B191" i="1" s="1"/>
  <c r="D107" i="1"/>
  <c r="B107" i="1" s="1"/>
  <c r="C107" i="1"/>
  <c r="B186" i="1"/>
  <c r="F185" i="1"/>
  <c r="B185" i="1" s="1"/>
  <c r="E185" i="1"/>
  <c r="E184" i="1"/>
  <c r="B184" i="1"/>
  <c r="B183" i="1"/>
  <c r="B182" i="1"/>
  <c r="D181" i="1"/>
  <c r="B181" i="1"/>
  <c r="D180" i="1"/>
  <c r="B180" i="1"/>
  <c r="E99" i="1"/>
  <c r="D99" i="1"/>
  <c r="B99" i="1" s="1"/>
  <c r="C99" i="1"/>
  <c r="B179" i="1"/>
  <c r="B178" i="1"/>
  <c r="E177" i="1"/>
  <c r="D177" i="1"/>
  <c r="B177" i="1" s="1"/>
  <c r="F168" i="1"/>
  <c r="B168" i="1" s="1"/>
  <c r="C168" i="1"/>
  <c r="E139" i="1"/>
  <c r="C139" i="1"/>
  <c r="B139" i="1" s="1"/>
  <c r="B175" i="1"/>
  <c r="B174" i="1"/>
  <c r="D149" i="1"/>
  <c r="B149" i="1" s="1"/>
  <c r="C149" i="1"/>
  <c r="B173" i="1"/>
  <c r="D160" i="1"/>
  <c r="B160" i="1" s="1"/>
  <c r="C160" i="1"/>
  <c r="E172" i="1"/>
  <c r="B172" i="1"/>
  <c r="F158" i="1"/>
  <c r="D158" i="1"/>
  <c r="C158" i="1"/>
  <c r="B158" i="1"/>
  <c r="B171" i="1"/>
  <c r="E101" i="1"/>
  <c r="D101" i="1"/>
  <c r="C101" i="1"/>
  <c r="B101" i="1" s="1"/>
  <c r="B170" i="1"/>
  <c r="E111" i="1"/>
  <c r="D111" i="1"/>
  <c r="B111" i="1" s="1"/>
  <c r="C111" i="1"/>
  <c r="E167" i="1"/>
  <c r="B167" i="1"/>
  <c r="D165" i="1"/>
  <c r="B165" i="1"/>
  <c r="D164" i="1"/>
  <c r="B164" i="1"/>
  <c r="D163" i="1"/>
  <c r="B163" i="1"/>
  <c r="E162" i="1"/>
  <c r="D162" i="1"/>
  <c r="B162" i="1" s="1"/>
  <c r="E161" i="1"/>
  <c r="B161" i="1" s="1"/>
  <c r="D94" i="1"/>
  <c r="B94" i="1" s="1"/>
  <c r="C94" i="1"/>
  <c r="E68" i="1"/>
  <c r="D68" i="1"/>
  <c r="B68" i="1" s="1"/>
  <c r="C68" i="1"/>
  <c r="E159" i="1"/>
  <c r="B159" i="1"/>
  <c r="D117" i="1"/>
  <c r="C117" i="1"/>
  <c r="B117" i="1" s="1"/>
  <c r="E88" i="1"/>
  <c r="D88" i="1"/>
  <c r="C88" i="1"/>
  <c r="B88" i="1" s="1"/>
  <c r="D156" i="1"/>
  <c r="B156" i="1" s="1"/>
  <c r="E155" i="1"/>
  <c r="B155" i="1" s="1"/>
  <c r="E154" i="1"/>
  <c r="B154" i="1" s="1"/>
  <c r="B153" i="1"/>
  <c r="F152" i="1"/>
  <c r="B152" i="1"/>
  <c r="F151" i="1"/>
  <c r="E151" i="1"/>
  <c r="D151" i="1"/>
  <c r="B151" i="1"/>
  <c r="E138" i="1"/>
  <c r="C138" i="1"/>
  <c r="B138" i="1" s="1"/>
  <c r="F148" i="1"/>
  <c r="B148" i="1" s="1"/>
  <c r="C130" i="1"/>
  <c r="B130" i="1" s="1"/>
  <c r="D106" i="1"/>
  <c r="B106" i="1" s="1"/>
  <c r="C106" i="1"/>
  <c r="F147" i="1"/>
  <c r="B147" i="1"/>
  <c r="B146" i="1"/>
  <c r="B143" i="1"/>
  <c r="F142" i="1"/>
  <c r="E142" i="1"/>
  <c r="B142" i="1" s="1"/>
  <c r="F141" i="1"/>
  <c r="B141" i="1" s="1"/>
  <c r="E125" i="1"/>
  <c r="D125" i="1"/>
  <c r="C125" i="1"/>
  <c r="B125" i="1" s="1"/>
  <c r="B140" i="1"/>
  <c r="F137" i="1"/>
  <c r="B137" i="1" s="1"/>
  <c r="B136" i="1"/>
  <c r="F135" i="1"/>
  <c r="E135" i="1"/>
  <c r="D135" i="1"/>
  <c r="B135" i="1" s="1"/>
  <c r="B134" i="1"/>
  <c r="B133" i="1"/>
  <c r="B132" i="1"/>
  <c r="B131" i="1"/>
  <c r="F129" i="1"/>
  <c r="E129" i="1"/>
  <c r="D129" i="1"/>
  <c r="B129" i="1" s="1"/>
  <c r="B127" i="1"/>
  <c r="E126" i="1"/>
  <c r="D126" i="1"/>
  <c r="B126" i="1" s="1"/>
  <c r="E124" i="1"/>
  <c r="B124" i="1" s="1"/>
  <c r="E123" i="1"/>
  <c r="D123" i="1"/>
  <c r="B123" i="1"/>
  <c r="D103" i="1"/>
  <c r="C103" i="1"/>
  <c r="B103" i="1" s="1"/>
  <c r="B122" i="1"/>
  <c r="D62" i="1"/>
  <c r="C62" i="1"/>
  <c r="B62" i="1" s="1"/>
  <c r="E121" i="1"/>
  <c r="B121" i="1" s="1"/>
  <c r="E120" i="1"/>
  <c r="D120" i="1"/>
  <c r="B120" i="1"/>
  <c r="F119" i="1"/>
  <c r="B119" i="1" s="1"/>
  <c r="F118" i="1"/>
  <c r="E118" i="1"/>
  <c r="B118" i="1" s="1"/>
  <c r="D118" i="1"/>
  <c r="F116" i="1"/>
  <c r="D116" i="1"/>
  <c r="B116" i="1" s="1"/>
  <c r="B114" i="1"/>
  <c r="F113" i="1"/>
  <c r="E113" i="1"/>
  <c r="B113" i="1" s="1"/>
  <c r="D113" i="1"/>
  <c r="F112" i="1"/>
  <c r="B112" i="1"/>
  <c r="F63" i="1"/>
  <c r="E63" i="1"/>
  <c r="D63" i="1"/>
  <c r="C63" i="1"/>
  <c r="B63" i="1" s="1"/>
  <c r="F78" i="1"/>
  <c r="E78" i="1"/>
  <c r="D78" i="1"/>
  <c r="B78" i="1" s="1"/>
  <c r="C78" i="1"/>
  <c r="E100" i="1"/>
  <c r="D100" i="1"/>
  <c r="B100" i="1" s="1"/>
  <c r="C100" i="1"/>
  <c r="E91" i="1"/>
  <c r="D91" i="1"/>
  <c r="B91" i="1" s="1"/>
  <c r="C91" i="1"/>
  <c r="D64" i="1"/>
  <c r="C64" i="1"/>
  <c r="B64" i="1" s="1"/>
  <c r="B110" i="1"/>
  <c r="D109" i="1"/>
  <c r="B109" i="1"/>
  <c r="B108" i="1"/>
  <c r="B105" i="1"/>
  <c r="D104" i="1"/>
  <c r="B104" i="1"/>
  <c r="E102" i="1"/>
  <c r="D102" i="1"/>
  <c r="B102" i="1" s="1"/>
  <c r="D93" i="1"/>
  <c r="B93" i="1" s="1"/>
  <c r="C93" i="1"/>
  <c r="F98" i="1"/>
  <c r="E98" i="1"/>
  <c r="B98" i="1" s="1"/>
  <c r="D98" i="1"/>
  <c r="F97" i="1"/>
  <c r="E97" i="1"/>
  <c r="B97" i="1" s="1"/>
  <c r="D97" i="1"/>
  <c r="F96" i="1"/>
  <c r="E96" i="1"/>
  <c r="B96" i="1" s="1"/>
  <c r="D96" i="1"/>
  <c r="F95" i="1"/>
  <c r="B95" i="1"/>
  <c r="E66" i="1"/>
  <c r="D66" i="1"/>
  <c r="C66" i="1"/>
  <c r="B66" i="1"/>
  <c r="C85" i="1"/>
  <c r="B85" i="1"/>
  <c r="F92" i="1"/>
  <c r="E92" i="1"/>
  <c r="B92" i="1" s="1"/>
  <c r="D92" i="1"/>
  <c r="B87" i="1"/>
  <c r="F86" i="1"/>
  <c r="B86" i="1" s="1"/>
  <c r="F67" i="1"/>
  <c r="E67" i="1"/>
  <c r="D67" i="1"/>
  <c r="B67" i="1" s="1"/>
  <c r="C67" i="1"/>
  <c r="F81" i="1"/>
  <c r="E81" i="1"/>
  <c r="B81" i="1" s="1"/>
  <c r="C81" i="1"/>
  <c r="B84" i="1"/>
  <c r="F83" i="1"/>
  <c r="B83" i="1" s="1"/>
  <c r="E82" i="1"/>
  <c r="D82" i="1"/>
  <c r="B82" i="1"/>
  <c r="F80" i="1"/>
  <c r="E80" i="1"/>
  <c r="D80" i="1"/>
  <c r="B80" i="1"/>
  <c r="E42" i="1"/>
  <c r="D42" i="1"/>
  <c r="C42" i="1"/>
  <c r="B42" i="1"/>
  <c r="B76" i="1"/>
  <c r="E61" i="1"/>
  <c r="C61" i="1"/>
  <c r="B61" i="1"/>
  <c r="B75" i="1"/>
  <c r="D56" i="1"/>
  <c r="C56" i="1"/>
  <c r="B56" i="1"/>
  <c r="F49" i="1"/>
  <c r="E49" i="1"/>
  <c r="D49" i="1"/>
  <c r="C49" i="1"/>
  <c r="B49" i="1" s="1"/>
  <c r="B74" i="1"/>
  <c r="F48" i="1"/>
  <c r="D48" i="1"/>
  <c r="B48" i="1" s="1"/>
  <c r="C48" i="1"/>
  <c r="E65" i="1"/>
  <c r="D65" i="1"/>
  <c r="B65" i="1" s="1"/>
  <c r="C65" i="1"/>
  <c r="B73" i="1"/>
  <c r="B71" i="1"/>
  <c r="B70" i="1"/>
  <c r="F59" i="1"/>
  <c r="E59" i="1"/>
  <c r="D59" i="1"/>
  <c r="B59" i="1" s="1"/>
  <c r="C59" i="1"/>
  <c r="B69" i="1"/>
  <c r="E46" i="1"/>
  <c r="D46" i="1"/>
  <c r="C46" i="1"/>
  <c r="B46" i="1" s="1"/>
  <c r="F57" i="1"/>
  <c r="B57" i="1" s="1"/>
  <c r="E57" i="1"/>
  <c r="D57" i="1"/>
  <c r="C57" i="1"/>
  <c r="C55" i="1"/>
  <c r="B55" i="1"/>
  <c r="F38" i="1"/>
  <c r="E38" i="1"/>
  <c r="D38" i="1"/>
  <c r="C38" i="1"/>
  <c r="B38" i="1" s="1"/>
  <c r="E41" i="1"/>
  <c r="D41" i="1"/>
  <c r="C41" i="1"/>
  <c r="B41" i="1" s="1"/>
  <c r="F44" i="1"/>
  <c r="E44" i="1"/>
  <c r="D44" i="1"/>
  <c r="C44" i="1"/>
  <c r="B44" i="1"/>
  <c r="F39" i="1"/>
  <c r="E39" i="1"/>
  <c r="D39" i="1"/>
  <c r="C39" i="1"/>
  <c r="B39" i="1" s="1"/>
  <c r="F52" i="1"/>
  <c r="E52" i="1"/>
  <c r="D52" i="1"/>
  <c r="B52" i="1" s="1"/>
  <c r="C52" i="1"/>
  <c r="E60" i="1"/>
  <c r="D60" i="1"/>
  <c r="B60" i="1" s="1"/>
  <c r="F58" i="1"/>
  <c r="B58" i="1" s="1"/>
  <c r="E37" i="1"/>
  <c r="D37" i="1"/>
  <c r="C37" i="1"/>
  <c r="B37" i="1" s="1"/>
  <c r="F54" i="1"/>
  <c r="B54" i="1" s="1"/>
  <c r="D54" i="1"/>
  <c r="B53" i="1"/>
  <c r="F51" i="1"/>
  <c r="E51" i="1"/>
  <c r="D51" i="1"/>
  <c r="B51" i="1" s="1"/>
  <c r="F50" i="1"/>
  <c r="E50" i="1"/>
  <c r="D50" i="1"/>
  <c r="B50" i="1" s="1"/>
  <c r="F47" i="1"/>
  <c r="B47" i="1" s="1"/>
  <c r="F43" i="1"/>
  <c r="B43" i="1" s="1"/>
  <c r="D32" i="1"/>
  <c r="B32" i="1" s="1"/>
  <c r="C32" i="1"/>
  <c r="F28" i="1"/>
  <c r="E28" i="1"/>
  <c r="D28" i="1"/>
  <c r="C28" i="1"/>
  <c r="B28" i="1" s="1"/>
  <c r="F34" i="1"/>
  <c r="E34" i="1"/>
  <c r="D34" i="1"/>
  <c r="C34" i="1"/>
  <c r="B34" i="1"/>
  <c r="F40" i="1"/>
  <c r="E40" i="1"/>
  <c r="D40" i="1"/>
  <c r="B40" i="1"/>
  <c r="F36" i="1"/>
  <c r="E36" i="1"/>
  <c r="D36" i="1"/>
  <c r="C36" i="1"/>
  <c r="B36" i="1" s="1"/>
  <c r="F35" i="1"/>
  <c r="E35" i="1"/>
  <c r="D35" i="1"/>
  <c r="B35" i="1" s="1"/>
  <c r="C35" i="1"/>
  <c r="F33" i="1"/>
  <c r="E33" i="1"/>
  <c r="D33" i="1"/>
  <c r="C33" i="1"/>
  <c r="B33" i="1" s="1"/>
  <c r="F25" i="1"/>
  <c r="B25" i="1" s="1"/>
  <c r="E25" i="1"/>
  <c r="D25" i="1"/>
  <c r="C25" i="1"/>
  <c r="E29" i="1"/>
  <c r="C29" i="1"/>
  <c r="B29" i="1" s="1"/>
  <c r="B31" i="1"/>
  <c r="H30" i="1"/>
  <c r="G30" i="1"/>
  <c r="F30" i="1"/>
  <c r="E30" i="1"/>
  <c r="B30" i="1" s="1"/>
  <c r="F27" i="1"/>
  <c r="E27" i="1"/>
  <c r="D27" i="1"/>
  <c r="B27" i="1" s="1"/>
  <c r="C27" i="1"/>
  <c r="F22" i="1"/>
  <c r="E22" i="1"/>
  <c r="D22" i="1"/>
  <c r="C22" i="1"/>
  <c r="B22" i="1" s="1"/>
  <c r="F26" i="1"/>
  <c r="E26" i="1"/>
  <c r="D26" i="1"/>
  <c r="C26" i="1"/>
  <c r="B26" i="1"/>
  <c r="F13" i="1"/>
  <c r="E13" i="1"/>
  <c r="D13" i="1"/>
  <c r="C13" i="1"/>
  <c r="B13" i="1" s="1"/>
  <c r="F21" i="1"/>
  <c r="E21" i="1"/>
  <c r="D21" i="1"/>
  <c r="B21" i="1" s="1"/>
  <c r="C21" i="1"/>
  <c r="F24" i="1"/>
  <c r="E24" i="1"/>
  <c r="D24" i="1"/>
  <c r="C24" i="1"/>
  <c r="B24" i="1" s="1"/>
  <c r="F23" i="1"/>
  <c r="E23" i="1"/>
  <c r="D23" i="1"/>
  <c r="B23" i="1" s="1"/>
  <c r="F19" i="1"/>
  <c r="E19" i="1"/>
  <c r="D19" i="1"/>
  <c r="C19" i="1"/>
  <c r="B19" i="1"/>
  <c r="B20" i="1"/>
  <c r="F14" i="1"/>
  <c r="E14" i="1"/>
  <c r="D14" i="1"/>
  <c r="B14" i="1" s="1"/>
  <c r="C14" i="1"/>
  <c r="F18" i="1"/>
  <c r="D18" i="1"/>
  <c r="B18" i="1" s="1"/>
  <c r="C18" i="1"/>
  <c r="F16" i="1"/>
  <c r="E16" i="1"/>
  <c r="D16" i="1"/>
  <c r="C16" i="1"/>
  <c r="B16" i="1" s="1"/>
  <c r="F12" i="1"/>
  <c r="E12" i="1"/>
  <c r="D12" i="1"/>
  <c r="C12" i="1"/>
  <c r="B12" i="1"/>
  <c r="E17" i="1"/>
  <c r="D17" i="1"/>
  <c r="C17" i="1"/>
  <c r="B17" i="1"/>
  <c r="F8" i="1"/>
  <c r="E8" i="1"/>
  <c r="D8" i="1"/>
  <c r="C8" i="1"/>
  <c r="B8" i="1" s="1"/>
  <c r="F9" i="1"/>
  <c r="E9" i="1"/>
  <c r="D9" i="1"/>
  <c r="B9" i="1" s="1"/>
  <c r="C9" i="1"/>
  <c r="F11" i="1"/>
  <c r="E11" i="1"/>
  <c r="D11" i="1"/>
  <c r="C11" i="1"/>
  <c r="B11" i="1" s="1"/>
  <c r="B15" i="1"/>
  <c r="F6" i="1"/>
  <c r="E6" i="1"/>
  <c r="D6" i="1"/>
  <c r="C6" i="1"/>
  <c r="B6" i="1" s="1"/>
  <c r="F10" i="1"/>
  <c r="E10" i="1"/>
  <c r="D10" i="1"/>
  <c r="B10" i="1" s="1"/>
  <c r="C10" i="1"/>
  <c r="F5" i="1"/>
  <c r="E5" i="1"/>
  <c r="D5" i="1"/>
  <c r="C5" i="1"/>
  <c r="B5" i="1" s="1"/>
  <c r="F7" i="1"/>
  <c r="E7" i="1"/>
  <c r="D7" i="1"/>
  <c r="C7" i="1"/>
  <c r="B7" i="1"/>
  <c r="F4" i="1"/>
  <c r="E4" i="1"/>
  <c r="D4" i="1"/>
  <c r="C4" i="1"/>
  <c r="B4" i="1" s="1"/>
  <c r="F2" i="1"/>
  <c r="E2" i="1"/>
  <c r="D2" i="1"/>
  <c r="B2" i="1" s="1"/>
  <c r="C2" i="1"/>
  <c r="F3" i="1"/>
  <c r="E3" i="1"/>
  <c r="D3" i="1"/>
  <c r="C3" i="1"/>
  <c r="B3" i="1" s="1"/>
</calcChain>
</file>

<file path=xl/sharedStrings.xml><?xml version="1.0" encoding="utf-8"?>
<sst xmlns="http://schemas.openxmlformats.org/spreadsheetml/2006/main" count="318" uniqueCount="316">
  <si>
    <t>Ratsanik</t>
  </si>
  <si>
    <t>km kokku</t>
  </si>
  <si>
    <t>enne 2000</t>
  </si>
  <si>
    <t>Heigo Rohtla</t>
  </si>
  <si>
    <t>Kairit Järv</t>
  </si>
  <si>
    <t>Anne Rohtla</t>
  </si>
  <si>
    <t>Virge Laur</t>
  </si>
  <si>
    <t>Annabel Kaldvee</t>
  </si>
  <si>
    <t>Berit Truuts</t>
  </si>
  <si>
    <t>Kaisa Keerd</t>
  </si>
  <si>
    <t>Egle Kalev</t>
  </si>
  <si>
    <t>Ines Beilmann-Lehtonen</t>
  </si>
  <si>
    <t>Marian Kikas</t>
  </si>
  <si>
    <t>Merilin Kalbre</t>
  </si>
  <si>
    <t>Marilyn Uusna</t>
  </si>
  <si>
    <t>Brenda Prants</t>
  </si>
  <si>
    <t>Keiu Oras</t>
  </si>
  <si>
    <t>Brit Truuts</t>
  </si>
  <si>
    <t>Sanna Podekrat</t>
  </si>
  <si>
    <t>Kaja Tuisk</t>
  </si>
  <si>
    <t>Katrin Liiv</t>
  </si>
  <si>
    <t>Grete Kaas</t>
  </si>
  <si>
    <t>Kalli Kalbre</t>
  </si>
  <si>
    <t>Katrin Mets</t>
  </si>
  <si>
    <t>Eliise Laur</t>
  </si>
  <si>
    <t>Priidu Tikk</t>
  </si>
  <si>
    <t>Elisabeth Kaldvee</t>
  </si>
  <si>
    <t>Jelena Sbitneva</t>
  </si>
  <si>
    <t>Marja Salomaa</t>
  </si>
  <si>
    <t>Joosep Tikk</t>
  </si>
  <si>
    <t>Külli Taro</t>
  </si>
  <si>
    <t>Lilian Schönberg</t>
  </si>
  <si>
    <t>Maria Runno</t>
  </si>
  <si>
    <t>Laura Nahkor</t>
  </si>
  <si>
    <t>Peeter Liiv</t>
  </si>
  <si>
    <t>Mari Saar</t>
  </si>
  <si>
    <t>Anniki Kreek</t>
  </si>
  <si>
    <t>Gerli Sein</t>
  </si>
  <si>
    <t>Margaret Peremees</t>
  </si>
  <si>
    <t>Helina Kalev</t>
  </si>
  <si>
    <t>Aivar Taro</t>
  </si>
  <si>
    <t>Kadri Kullerkupp</t>
  </si>
  <si>
    <t>Marian Koplimäe</t>
  </si>
  <si>
    <t>Marko Graverson</t>
  </si>
  <si>
    <t>Hanna Rohtla</t>
  </si>
  <si>
    <t>Esti Viilup</t>
  </si>
  <si>
    <t>Mari Jürgenson</t>
  </si>
  <si>
    <t>Mari-liis Tammeleht</t>
  </si>
  <si>
    <t>Lene Aadli</t>
  </si>
  <si>
    <t>Gerly Pällo</t>
  </si>
  <si>
    <t>Kalev Käsperson</t>
  </si>
  <si>
    <t>Doora Elmi</t>
  </si>
  <si>
    <t>Eveli Pärna</t>
  </si>
  <si>
    <t>Madle Sirel</t>
  </si>
  <si>
    <t>Hanna Laura Leesme</t>
  </si>
  <si>
    <t>Johannes Mooste</t>
  </si>
  <si>
    <t>Siim Laur</t>
  </si>
  <si>
    <t>Kaia Raidma</t>
  </si>
  <si>
    <t>Sirje Kiilits</t>
  </si>
  <si>
    <t>Katrin Graverson</t>
  </si>
  <si>
    <t>Reelika Sarapuu</t>
  </si>
  <si>
    <t>Raili Pärt</t>
  </si>
  <si>
    <t>Sanna Turu</t>
  </si>
  <si>
    <t>Erle Oja</t>
  </si>
  <si>
    <t>Maris Kallo</t>
  </si>
  <si>
    <t xml:space="preserve">         Stiven Savin</t>
  </si>
  <si>
    <t>Tuuli Reede</t>
  </si>
  <si>
    <t>Kristiina Kassmann</t>
  </si>
  <si>
    <t>Maris Saar</t>
  </si>
  <si>
    <t>Marii Helen Eek</t>
  </si>
  <si>
    <t>Gabriel Kibal</t>
  </si>
  <si>
    <t>Margit Rändur</t>
  </si>
  <si>
    <t>Mari-Leen Tikk</t>
  </si>
  <si>
    <t>Anni Elisabeth Piirfeldt</t>
  </si>
  <si>
    <t>Annete Sikora</t>
  </si>
  <si>
    <t>Kristin Tärn</t>
  </si>
  <si>
    <t>Ly Puri</t>
  </si>
  <si>
    <t>Triinu Rannast</t>
  </si>
  <si>
    <t>Ksenja Mihnovitš</t>
  </si>
  <si>
    <t>Astra Nilk</t>
  </si>
  <si>
    <t>Anett Laever</t>
  </si>
  <si>
    <t>Karoline Aun</t>
  </si>
  <si>
    <t>Triin moisa</t>
  </si>
  <si>
    <t>Grete Õismets</t>
  </si>
  <si>
    <t>Cätlin Mölder</t>
  </si>
  <si>
    <t>Angelika Sadam</t>
  </si>
  <si>
    <t>Anu Sikk</t>
  </si>
  <si>
    <t xml:space="preserve">       Katarina Urm</t>
  </si>
  <si>
    <t>Eleri Narits</t>
  </si>
  <si>
    <t>Maris Suuster</t>
  </si>
  <si>
    <t xml:space="preserve">      Triinu Tiidus</t>
  </si>
  <si>
    <t>Janika Nigul</t>
  </si>
  <si>
    <t>Anne Luik</t>
  </si>
  <si>
    <t>Kreeta-Lisett Tooming</t>
  </si>
  <si>
    <t>Heddy Talvik</t>
  </si>
  <si>
    <t>Liisa Juurmann</t>
  </si>
  <si>
    <t>Margarita Randviir</t>
  </si>
  <si>
    <t>Anna Liisa Kalja</t>
  </si>
  <si>
    <t>Annabel Kallo</t>
  </si>
  <si>
    <t>Anneliis Plado</t>
  </si>
  <si>
    <t>Õnne Halliko</t>
  </si>
  <si>
    <t>Britta Stern</t>
  </si>
  <si>
    <t>Merilin Sinimets</t>
  </si>
  <si>
    <t>Randy Mägi</t>
  </si>
  <si>
    <t>Grethel Kasesalu</t>
  </si>
  <si>
    <t xml:space="preserve">     Olga Maksimenko</t>
  </si>
  <si>
    <t>Hannes Arvisto</t>
  </si>
  <si>
    <t xml:space="preserve">           Elis Aksli</t>
  </si>
  <si>
    <t>Vasilina Savinova</t>
  </si>
  <si>
    <t>Adele Karolina Kõre</t>
  </si>
  <si>
    <t>Alice Allik</t>
  </si>
  <si>
    <t>Sigrid Sild</t>
  </si>
  <si>
    <t>Doris Elmi</t>
  </si>
  <si>
    <t>Siret Sivonen</t>
  </si>
  <si>
    <t>Kadi Nurs</t>
  </si>
  <si>
    <t>Urmas Brück</t>
  </si>
  <si>
    <t>Liivar Laks</t>
  </si>
  <si>
    <t>Tuuli Sammelselg</t>
  </si>
  <si>
    <t>Sandra Sirel</t>
  </si>
  <si>
    <t>Ene Neimla</t>
  </si>
  <si>
    <t>Jaanika Sadam</t>
  </si>
  <si>
    <t>Cristella Treial</t>
  </si>
  <si>
    <t>Eliise Saarepera</t>
  </si>
  <si>
    <t>Mirjam Jaaska</t>
  </si>
  <si>
    <t>Carmen Roomet</t>
  </si>
  <si>
    <t>Karolin Braun</t>
  </si>
  <si>
    <t>Triin Laanemägi</t>
  </si>
  <si>
    <t xml:space="preserve">        Hedi Laigar</t>
  </si>
  <si>
    <t>Vello Kikas</t>
  </si>
  <si>
    <t>Loviise Liia Paas</t>
  </si>
  <si>
    <t>Kaisa Kask</t>
  </si>
  <si>
    <t>Maret Kasemets</t>
  </si>
  <si>
    <t>Brenda Raid</t>
  </si>
  <si>
    <t>Hanna-Liisa Aasma</t>
  </si>
  <si>
    <t>Mihkel Lindre</t>
  </si>
  <si>
    <t>Lauri Juhani Lehtinen</t>
  </si>
  <si>
    <t>Sille Vaimets</t>
  </si>
  <si>
    <t>Johanna Jakobson</t>
  </si>
  <si>
    <t>Maria Pääsuke</t>
  </si>
  <si>
    <t>Eva Veltri</t>
  </si>
  <si>
    <t>Kadri-Liis Remmelgas</t>
  </si>
  <si>
    <t>Agnes Annimäe</t>
  </si>
  <si>
    <t>Jennifer-Chelsea Laanet</t>
  </si>
  <si>
    <t>Joonas Maru Aardevälja</t>
  </si>
  <si>
    <t xml:space="preserve">      Regina Waren</t>
  </si>
  <si>
    <t xml:space="preserve">  Oksana Podgorelov</t>
  </si>
  <si>
    <t xml:space="preserve">  Agnes Podgorelov</t>
  </si>
  <si>
    <t>Railis Ipsberg</t>
  </si>
  <si>
    <t>Jana Jalast</t>
  </si>
  <si>
    <t>Kaire Ojapõld</t>
  </si>
  <si>
    <t>Tiina Kuusepuu</t>
  </si>
  <si>
    <t>Kelly Kvarnström</t>
  </si>
  <si>
    <t>Priit Perna</t>
  </si>
  <si>
    <t>Jane Vahtras</t>
  </si>
  <si>
    <t>Johanna Krippel</t>
  </si>
  <si>
    <t>Laura Jõgeda</t>
  </si>
  <si>
    <t xml:space="preserve">      Anella Stimmer</t>
  </si>
  <si>
    <t>Kristi Saarmas</t>
  </si>
  <si>
    <t>Kristin Kesmaa</t>
  </si>
  <si>
    <t>Pille Toom</t>
  </si>
  <si>
    <t>Birgit Raid</t>
  </si>
  <si>
    <t>Anna-Liisa Pääsukene</t>
  </si>
  <si>
    <t>Anu Tavidoff</t>
  </si>
  <si>
    <t>Triin Paur</t>
  </si>
  <si>
    <t>Nora Reinet</t>
  </si>
  <si>
    <t>Marjana Tilk</t>
  </si>
  <si>
    <t>Marita Tilk</t>
  </si>
  <si>
    <t>Riin Reimer</t>
  </si>
  <si>
    <t>Teele Tohver</t>
  </si>
  <si>
    <t>Anneli Metsaorg</t>
  </si>
  <si>
    <t>Johanna Ivask</t>
  </si>
  <si>
    <t>Koit Tikk</t>
  </si>
  <si>
    <t xml:space="preserve">           Eleri Sirel</t>
  </si>
  <si>
    <t>Anu Moisa</t>
  </si>
  <si>
    <t>Kelly Pärnalaas</t>
  </si>
  <si>
    <t>Al-Dra Kungla</t>
  </si>
  <si>
    <t>Lovisa Anetta Marcella Lilles</t>
  </si>
  <si>
    <t>Georg Koppel</t>
  </si>
  <si>
    <t>Hele Mai Hipp Müller</t>
  </si>
  <si>
    <t xml:space="preserve">      Merja Magnus</t>
  </si>
  <si>
    <t>Triin Visamaa</t>
  </si>
  <si>
    <t>Gertu Vilba</t>
  </si>
  <si>
    <t>Kätlin Leisson</t>
  </si>
  <si>
    <t>Merlin Vips</t>
  </si>
  <si>
    <t xml:space="preserve">   Mairi Zernand-kris</t>
  </si>
  <si>
    <t>Kaisa Ets</t>
  </si>
  <si>
    <t xml:space="preserve">    Mariel Olkonen</t>
  </si>
  <si>
    <t>Mart Saamuel Lobjakas</t>
  </si>
  <si>
    <t>Key Paju</t>
  </si>
  <si>
    <t>Elle Helena Karrus</t>
  </si>
  <si>
    <t>Mariliis Parve</t>
  </si>
  <si>
    <t>Grete Tooming</t>
  </si>
  <si>
    <t>Viivika Liiman</t>
  </si>
  <si>
    <t>Maarja Malm</t>
  </si>
  <si>
    <t>Kristi Vahenurm</t>
  </si>
  <si>
    <t>Artur Lember</t>
  </si>
  <si>
    <t>Margit Raudkivi</t>
  </si>
  <si>
    <t>Keidy Jõgi</t>
  </si>
  <si>
    <t>Carolin Nõmm</t>
  </si>
  <si>
    <t>Eeva-Anette Värk</t>
  </si>
  <si>
    <t>Doris Tedre</t>
  </si>
  <si>
    <t>Piia Marie Leesme</t>
  </si>
  <si>
    <t>Kristine Käärmamees</t>
  </si>
  <si>
    <t>Heidi Veski</t>
  </si>
  <si>
    <t>Kerli Karita Nugis</t>
  </si>
  <si>
    <t>Mirje Uibo</t>
  </si>
  <si>
    <t>Andra Selesneva</t>
  </si>
  <si>
    <t>Annika Raie</t>
  </si>
  <si>
    <t>Margit Martin</t>
  </si>
  <si>
    <t>Tiiu Valk</t>
  </si>
  <si>
    <t>Kaisa-Liisi Kangur</t>
  </si>
  <si>
    <t>Tõnu Tõnov</t>
  </si>
  <si>
    <t>Laura Olesk</t>
  </si>
  <si>
    <t>Kert Kiis</t>
  </si>
  <si>
    <t>Hugo Rohtla</t>
  </si>
  <si>
    <t>Aleksandra Kliimand</t>
  </si>
  <si>
    <t>Kirkke Eliis Põldsalu</t>
  </si>
  <si>
    <t>Erik Tuiman</t>
  </si>
  <si>
    <t>Sigrid Lain</t>
  </si>
  <si>
    <t>Kristiina Johanna Feldmann</t>
  </si>
  <si>
    <t>Kaili Puttonen</t>
  </si>
  <si>
    <t>Annika Aruots</t>
  </si>
  <si>
    <t>Hardo Käänik</t>
  </si>
  <si>
    <t>Siiri Verrev</t>
  </si>
  <si>
    <t>Anna-Liis Toming</t>
  </si>
  <si>
    <t>Marelle Mangus</t>
  </si>
  <si>
    <t>Elina Laur</t>
  </si>
  <si>
    <t>Evelin Luga</t>
  </si>
  <si>
    <t>Joel Jürisson</t>
  </si>
  <si>
    <t>Emilla Uustalu</t>
  </si>
  <si>
    <t xml:space="preserve">        Ellen Põder</t>
  </si>
  <si>
    <t>Maarja Paim</t>
  </si>
  <si>
    <t>Kauro Padar</t>
  </si>
  <si>
    <t>Egle Saar</t>
  </si>
  <si>
    <t>Britt Ülesoo</t>
  </si>
  <si>
    <t>Annely Metsaorg</t>
  </si>
  <si>
    <t>Ede Eerits</t>
  </si>
  <si>
    <t>Sandra Loo</t>
  </si>
  <si>
    <t>Aire Aun</t>
  </si>
  <si>
    <t>Triin Vallaste</t>
  </si>
  <si>
    <t>Holden Karl Hain</t>
  </si>
  <si>
    <t>Marili Põldma</t>
  </si>
  <si>
    <t>Annika Vaheoja</t>
  </si>
  <si>
    <t>Kathleen Parik</t>
  </si>
  <si>
    <t>Keti Adov</t>
  </si>
  <si>
    <t>Indrek Jõesaar</t>
  </si>
  <si>
    <t>Anette Leppik</t>
  </si>
  <si>
    <t>Meeli Räbin</t>
  </si>
  <si>
    <t>K.Kuik Tõnissoo</t>
  </si>
  <si>
    <t>Regne Soon</t>
  </si>
  <si>
    <t>Meriln Erm</t>
  </si>
  <si>
    <t xml:space="preserve">       Kaia Õispuu</t>
  </si>
  <si>
    <t xml:space="preserve">       Anni Liis Hoop</t>
  </si>
  <si>
    <t xml:space="preserve">       Kerli Jürimäe</t>
  </si>
  <si>
    <t xml:space="preserve">       Kelly Uluots</t>
  </si>
  <si>
    <t xml:space="preserve">      Johanna Aren</t>
  </si>
  <si>
    <t>Liisa Helena Timmerman</t>
  </si>
  <si>
    <t xml:space="preserve">   Peeter Ernik Liiv</t>
  </si>
  <si>
    <t xml:space="preserve">       Merilin Särg</t>
  </si>
  <si>
    <t xml:space="preserve">     Kristin Juurik</t>
  </si>
  <si>
    <t>Mia Turu</t>
  </si>
  <si>
    <t>Heli Püümann</t>
  </si>
  <si>
    <t>Kristiina Rea</t>
  </si>
  <si>
    <t>Ann Meriste White</t>
  </si>
  <si>
    <t>Raili Mets</t>
  </si>
  <si>
    <t>Johannes Jürisson</t>
  </si>
  <si>
    <t>Toomas Traagel</t>
  </si>
  <si>
    <t>Vassel Kivisoo</t>
  </si>
  <si>
    <t>Kalle Põldsaar</t>
  </si>
  <si>
    <t>Raner Paap</t>
  </si>
  <si>
    <t xml:space="preserve">     Markus Hallik</t>
  </si>
  <si>
    <t xml:space="preserve">   Gerda Loorepere</t>
  </si>
  <si>
    <t>Riina Vanatoa</t>
  </si>
  <si>
    <t>Aliise Mikk</t>
  </si>
  <si>
    <t>Triin Tartu</t>
  </si>
  <si>
    <t>Stella Kuusemets</t>
  </si>
  <si>
    <t>Laura Elvet</t>
  </si>
  <si>
    <t>Holger Eric Hain</t>
  </si>
  <si>
    <t>Maili Hüsse</t>
  </si>
  <si>
    <t>Grete Arro</t>
  </si>
  <si>
    <t>Kea Kiiver</t>
  </si>
  <si>
    <t>Lauri Aasmann</t>
  </si>
  <si>
    <t>Viljar Laos</t>
  </si>
  <si>
    <t>Jasmin Viinamägi</t>
  </si>
  <si>
    <t>Maire Õunmaa</t>
  </si>
  <si>
    <t>Laura Hirvoja</t>
  </si>
  <si>
    <t>Sille Kaupmees</t>
  </si>
  <si>
    <t>Karmen Trepp</t>
  </si>
  <si>
    <t>Johanna Teppan</t>
  </si>
  <si>
    <t>Liis-Ellen Raivet</t>
  </si>
  <si>
    <t>Sigrid Salumets</t>
  </si>
  <si>
    <t>Karmen Kasemets</t>
  </si>
  <si>
    <t>Lija Odisharia</t>
  </si>
  <si>
    <t>Liina Vatsa</t>
  </si>
  <si>
    <t>Carmen Elis Martikainen</t>
  </si>
  <si>
    <t>Jevgeni Medkov</t>
  </si>
  <si>
    <t>Lili Kolberg</t>
  </si>
  <si>
    <t>Triin Spitz</t>
  </si>
  <si>
    <t>Susanna Kristina Põldoja</t>
  </si>
  <si>
    <t>Rebeka Marii Hanniotti</t>
  </si>
  <si>
    <t>Jane Pulver</t>
  </si>
  <si>
    <t>Anna Kalinina</t>
  </si>
  <si>
    <t>Kaisa Liisi Kangur</t>
  </si>
  <si>
    <t>Eugenie Lee Lidmets</t>
  </si>
  <si>
    <t>Maret Hallik</t>
  </si>
  <si>
    <t>Gerli Laine</t>
  </si>
  <si>
    <t>Greta Frosch</t>
  </si>
  <si>
    <t>Kerli Mooses</t>
  </si>
  <si>
    <t>Kertu Kinks</t>
  </si>
  <si>
    <t>Kristiina Tamm</t>
  </si>
  <si>
    <t>Liis Maisla</t>
  </si>
  <si>
    <t>Merilin Kirsipuu</t>
  </si>
  <si>
    <t>Svea Pikaru-Prunsvelt</t>
  </si>
  <si>
    <t>Tiia Tallo</t>
  </si>
  <si>
    <t>Liisa Puusepp</t>
  </si>
  <si>
    <t>Loodetav lõplik parandus 02.11.17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</si>
</sst>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&quot;.&quot;m&quot;.&quot;yy"/>
    <numFmt numFmtId="165" formatCode="[$-425]General"/>
    <numFmt numFmtId="166" formatCode="#,##0.00&quot; &quot;[$€-425];[Red]&quot;-&quot;#,##0.00&quot; &quot;[$€-425]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8">
    <xf numFmtId="0" fontId="0" fillId="0" borderId="0" xfId="0"/>
    <xf numFmtId="165" fontId="4" fillId="0" borderId="1" xfId="1" applyFont="1" applyBorder="1" applyAlignment="1">
      <alignment horizontal="center"/>
    </xf>
    <xf numFmtId="165" fontId="4" fillId="0" borderId="2" xfId="1" applyFont="1" applyBorder="1" applyAlignment="1">
      <alignment horizontal="center"/>
    </xf>
    <xf numFmtId="165" fontId="4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165" fontId="1" fillId="0" borderId="0" xfId="1" applyAlignment="1"/>
    <xf numFmtId="165" fontId="1" fillId="0" borderId="0" xfId="1"/>
    <xf numFmtId="164" fontId="4" fillId="0" borderId="3" xfId="1" applyNumberFormat="1" applyFont="1" applyBorder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Border="1" applyAlignment="1"/>
    <xf numFmtId="165" fontId="1" fillId="0" borderId="3" xfId="1" applyBorder="1"/>
    <xf numFmtId="165" fontId="4" fillId="0" borderId="3" xfId="1" applyFont="1" applyBorder="1"/>
    <xf numFmtId="164" fontId="4" fillId="0" borderId="0" xfId="1" applyNumberFormat="1" applyFont="1" applyBorder="1" applyAlignment="1">
      <alignment horizontal="center"/>
    </xf>
    <xf numFmtId="165" fontId="4" fillId="0" borderId="3" xfId="1" applyFont="1" applyBorder="1" applyAlignment="1">
      <alignment wrapText="1"/>
    </xf>
    <xf numFmtId="165" fontId="4" fillId="0" borderId="3" xfId="1" applyFont="1" applyBorder="1" applyAlignment="1"/>
    <xf numFmtId="165" fontId="1" fillId="0" borderId="0" xfId="1" applyBorder="1"/>
    <xf numFmtId="165" fontId="4" fillId="0" borderId="0" xfId="1" applyFont="1" applyBorder="1"/>
    <xf numFmtId="165" fontId="5" fillId="0" borderId="3" xfId="1" applyFont="1" applyBorder="1"/>
  </cellXfs>
  <cellStyles count="6">
    <cellStyle name="Excel Built-in Explanatory Tex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8"/>
  <sheetViews>
    <sheetView tabSelected="1" workbookViewId="0">
      <selection activeCell="C2" sqref="C2"/>
    </sheetView>
  </sheetViews>
  <sheetFormatPr defaultRowHeight="14.1" x14ac:dyDescent="0.45"/>
  <cols>
    <col min="1" max="1" width="18.5" style="6" customWidth="1"/>
    <col min="2" max="2" width="10.0625" style="6" customWidth="1"/>
    <col min="3" max="6" width="7.8125" style="6" customWidth="1"/>
    <col min="7" max="8" width="6.5" style="6" customWidth="1"/>
    <col min="9" max="11" width="5.6875" style="6" customWidth="1"/>
    <col min="12" max="13" width="3.3125" style="6" customWidth="1"/>
    <col min="14" max="15" width="5.6875" style="6" customWidth="1"/>
    <col min="16" max="20" width="3.3125" style="6" customWidth="1"/>
    <col min="21" max="21" width="8.3125" style="6" customWidth="1"/>
    <col min="22" max="22" width="3.3125" style="6" customWidth="1"/>
    <col min="23" max="1024" width="6.5" style="6" customWidth="1"/>
  </cols>
  <sheetData>
    <row r="1" spans="1:23" s="2" customFormat="1" ht="15.75" x14ac:dyDescent="0.5">
      <c r="A1" s="1" t="s">
        <v>0</v>
      </c>
      <c r="B1" s="2" t="s">
        <v>1</v>
      </c>
      <c r="C1" s="2">
        <v>2017</v>
      </c>
      <c r="D1" s="2">
        <v>2016</v>
      </c>
      <c r="E1" s="2">
        <v>2015</v>
      </c>
      <c r="F1" s="2">
        <v>2014</v>
      </c>
      <c r="G1" s="2">
        <v>2013</v>
      </c>
      <c r="H1" s="2">
        <v>2012</v>
      </c>
      <c r="I1" s="2">
        <v>2011</v>
      </c>
      <c r="J1" s="2">
        <v>2010</v>
      </c>
      <c r="K1" s="2">
        <v>2009</v>
      </c>
      <c r="L1" s="2">
        <v>2008</v>
      </c>
      <c r="M1" s="2">
        <v>2007</v>
      </c>
      <c r="N1" s="2">
        <v>2006</v>
      </c>
      <c r="O1" s="2">
        <v>2005</v>
      </c>
      <c r="P1" s="2">
        <v>2004</v>
      </c>
      <c r="Q1" s="2">
        <v>2003</v>
      </c>
      <c r="R1" s="2">
        <v>2002</v>
      </c>
      <c r="S1" s="2">
        <v>2001</v>
      </c>
      <c r="T1" s="2">
        <v>2000</v>
      </c>
      <c r="U1" s="2" t="s">
        <v>2</v>
      </c>
      <c r="V1" s="3"/>
      <c r="W1" s="3"/>
    </row>
    <row r="2" spans="1:23" s="5" customFormat="1" ht="15.75" x14ac:dyDescent="0.5">
      <c r="A2" s="4" t="s">
        <v>4</v>
      </c>
      <c r="B2" s="3">
        <f>SUM(C2:U2)</f>
        <v>5786.95</v>
      </c>
      <c r="C2" s="3">
        <f>SUM(80.4+80+50+120+40+120+82)</f>
        <v>572.4</v>
      </c>
      <c r="D2" s="3">
        <f>SUM(46+50+160+84+83+83+42.4+42.4+52+40+160)</f>
        <v>842.8</v>
      </c>
      <c r="E2" s="3">
        <f>SUM(53+120+54+120)</f>
        <v>347</v>
      </c>
      <c r="F2" s="3">
        <f>SUM(90.6+160+120+81+51)</f>
        <v>502.6</v>
      </c>
      <c r="G2" s="3">
        <v>623.5</v>
      </c>
      <c r="H2" s="3">
        <v>647.85</v>
      </c>
      <c r="I2" s="3">
        <v>556</v>
      </c>
      <c r="J2" s="3">
        <v>615.79999999999995</v>
      </c>
      <c r="K2" s="3">
        <v>590</v>
      </c>
      <c r="L2" s="3">
        <v>353</v>
      </c>
      <c r="M2" s="3">
        <v>85</v>
      </c>
      <c r="N2" s="3">
        <v>51</v>
      </c>
      <c r="O2" s="3"/>
      <c r="P2" s="3"/>
      <c r="Q2" s="3"/>
      <c r="R2" s="3"/>
      <c r="S2" s="3"/>
      <c r="T2" s="3"/>
      <c r="U2" s="3"/>
    </row>
    <row r="3" spans="1:23" ht="15.75" x14ac:dyDescent="0.5">
      <c r="A3" s="4" t="s">
        <v>3</v>
      </c>
      <c r="B3" s="3">
        <f>SUM(C3:U3)</f>
        <v>5702.5499999999993</v>
      </c>
      <c r="C3" s="3">
        <f>SUM(53.6+120+30+160+50+52.5)</f>
        <v>466.1</v>
      </c>
      <c r="D3" s="3">
        <f>SUM(46+54+160+32+120+40+160+80+80)</f>
        <v>772</v>
      </c>
      <c r="E3" s="3">
        <f>SUM(50+120+120+52+120)</f>
        <v>462</v>
      </c>
      <c r="F3" s="3">
        <f>SUM(90.6+84+81+51)</f>
        <v>306.60000000000002</v>
      </c>
      <c r="G3" s="3">
        <v>339.5</v>
      </c>
      <c r="H3" s="3">
        <v>472.85</v>
      </c>
      <c r="I3" s="3">
        <v>401.5</v>
      </c>
      <c r="J3" s="3">
        <v>240</v>
      </c>
      <c r="K3" s="3">
        <v>543</v>
      </c>
      <c r="L3" s="3">
        <v>63</v>
      </c>
      <c r="M3" s="3">
        <v>261</v>
      </c>
      <c r="N3" s="3">
        <v>371</v>
      </c>
      <c r="O3" s="3">
        <v>350</v>
      </c>
      <c r="P3" s="3">
        <v>306</v>
      </c>
      <c r="Q3" s="3">
        <v>188</v>
      </c>
      <c r="R3" s="3">
        <v>30</v>
      </c>
      <c r="S3" s="5"/>
      <c r="T3" s="5"/>
      <c r="U3" s="3">
        <v>130</v>
      </c>
    </row>
    <row r="4" spans="1:23" ht="15.75" x14ac:dyDescent="0.5">
      <c r="A4" s="4" t="s">
        <v>5</v>
      </c>
      <c r="B4" s="3">
        <f>SUM(C4:U4)</f>
        <v>4449.2</v>
      </c>
      <c r="C4" s="3">
        <f>SUM(53.6+50+85.5)</f>
        <v>189.1</v>
      </c>
      <c r="D4" s="3">
        <f>SUM(54+32+34+40.5)</f>
        <v>160.5</v>
      </c>
      <c r="E4" s="3">
        <f>SUM(120+120+52)</f>
        <v>292</v>
      </c>
      <c r="F4" s="3">
        <f>SUM(90.6+80+39+51+81)</f>
        <v>341.6</v>
      </c>
      <c r="G4" s="3">
        <v>378</v>
      </c>
      <c r="H4" s="3">
        <v>845</v>
      </c>
      <c r="I4" s="3">
        <v>478.5</v>
      </c>
      <c r="J4" s="3">
        <v>368</v>
      </c>
      <c r="K4" s="3">
        <v>343.5</v>
      </c>
      <c r="L4" s="3">
        <v>169</v>
      </c>
      <c r="N4" s="3">
        <v>118</v>
      </c>
      <c r="O4" s="3">
        <v>249</v>
      </c>
      <c r="P4" s="3">
        <v>305</v>
      </c>
      <c r="Q4" s="3">
        <v>182</v>
      </c>
      <c r="R4" s="3">
        <v>30</v>
      </c>
    </row>
    <row r="5" spans="1:23" ht="15.75" x14ac:dyDescent="0.5">
      <c r="A5" s="4" t="s">
        <v>7</v>
      </c>
      <c r="B5" s="3">
        <f>SUM(C5:U5)</f>
        <v>3183.85</v>
      </c>
      <c r="C5" s="3">
        <f>SUM(53.6+120+50+120+82+80+85.5)</f>
        <v>591.1</v>
      </c>
      <c r="D5" s="3">
        <f>SUM(81+120+83+67+52+120+80+84)</f>
        <v>687</v>
      </c>
      <c r="E5" s="3">
        <f>SUM(80.4+84+120+80+67+85+120)</f>
        <v>636.4</v>
      </c>
      <c r="F5" s="3">
        <f>SUM(80+80+81+120+52)</f>
        <v>413</v>
      </c>
      <c r="G5" s="3">
        <v>490.5</v>
      </c>
      <c r="H5" s="3">
        <v>365.85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ht="15.75" x14ac:dyDescent="0.5">
      <c r="A6" s="4" t="s">
        <v>9</v>
      </c>
      <c r="B6" s="3">
        <f>SUM(C6:U6)</f>
        <v>3163.9</v>
      </c>
      <c r="C6" s="3">
        <f>SUM(64+54+120+120+80+80+120)</f>
        <v>638</v>
      </c>
      <c r="D6" s="3">
        <f>SUM(46+50+54+80+67+120+120+44+84+66)</f>
        <v>731</v>
      </c>
      <c r="E6" s="3">
        <f>SUM(80.4+53+80+67+85)</f>
        <v>365.4</v>
      </c>
      <c r="F6" s="3">
        <f>SUM(54+120+120+51+80+67+34+81+51+120+52)</f>
        <v>830</v>
      </c>
      <c r="G6" s="3">
        <v>557.5</v>
      </c>
      <c r="H6" s="3">
        <v>42</v>
      </c>
      <c r="N6" s="3"/>
      <c r="O6" s="3"/>
    </row>
    <row r="7" spans="1:23" ht="15.75" x14ac:dyDescent="0.5">
      <c r="A7" s="4" t="s">
        <v>6</v>
      </c>
      <c r="B7" s="3">
        <f>SUM(C7:U7)</f>
        <v>2995</v>
      </c>
      <c r="C7" s="3">
        <f>SUM(120+82+85.5)</f>
        <v>287.5</v>
      </c>
      <c r="D7" s="3">
        <f>SUM(46+81+160+84)</f>
        <v>371</v>
      </c>
      <c r="E7" s="3">
        <f>SUM(52)</f>
        <v>52</v>
      </c>
      <c r="F7" s="3">
        <f>SUM(53+45+120)</f>
        <v>218</v>
      </c>
      <c r="G7" s="3">
        <v>94</v>
      </c>
      <c r="H7" s="3">
        <v>256</v>
      </c>
      <c r="I7" s="3">
        <v>122.5</v>
      </c>
      <c r="J7" s="3">
        <v>520</v>
      </c>
      <c r="K7" s="3">
        <v>384</v>
      </c>
      <c r="L7" s="3">
        <v>393</v>
      </c>
      <c r="M7" s="3">
        <v>297</v>
      </c>
      <c r="N7" s="3"/>
      <c r="O7" s="3"/>
    </row>
    <row r="8" spans="1:23" ht="15.75" x14ac:dyDescent="0.5">
      <c r="A8" s="4" t="s">
        <v>13</v>
      </c>
      <c r="B8" s="3">
        <f>SUM(C8:U8)</f>
        <v>2926.05</v>
      </c>
      <c r="C8" s="3">
        <f>SUM(54+80.4+82.5+50+50+122+120+80+52)</f>
        <v>690.9</v>
      </c>
      <c r="D8" s="3">
        <f>SUM(46+50+53+55.5+42.4+83+44+41+56+66)</f>
        <v>536.9</v>
      </c>
      <c r="E8" s="3">
        <f>SUM(120+53.6+80+50+85+51+120)</f>
        <v>559.6</v>
      </c>
      <c r="F8" s="3">
        <f>SUM(54+120)</f>
        <v>174</v>
      </c>
      <c r="G8" s="3">
        <v>350.5</v>
      </c>
      <c r="H8" s="3">
        <v>265.35000000000002</v>
      </c>
      <c r="I8" s="3">
        <v>306.5</v>
      </c>
      <c r="J8" s="3">
        <v>42.3</v>
      </c>
      <c r="N8" s="3"/>
      <c r="O8" s="3"/>
    </row>
    <row r="9" spans="1:23" ht="15.75" x14ac:dyDescent="0.5">
      <c r="A9" s="4" t="s">
        <v>12</v>
      </c>
      <c r="B9" s="3">
        <f>SUM(C9:U9)</f>
        <v>2909</v>
      </c>
      <c r="C9" s="3">
        <f>SUM(80+120+160+82+120)</f>
        <v>562</v>
      </c>
      <c r="D9" s="3">
        <f>SUM(81)</f>
        <v>81</v>
      </c>
      <c r="E9" s="3">
        <f>SUM(81+52+81)</f>
        <v>214</v>
      </c>
      <c r="F9" s="3">
        <f>SUM(81+120+84)</f>
        <v>285</v>
      </c>
      <c r="G9" s="3">
        <v>241.5</v>
      </c>
      <c r="H9" s="3">
        <v>326.5</v>
      </c>
      <c r="I9" s="3">
        <v>485</v>
      </c>
      <c r="J9" s="3">
        <v>374.5</v>
      </c>
      <c r="K9" s="3">
        <v>249.5</v>
      </c>
      <c r="L9" s="3">
        <v>50</v>
      </c>
      <c r="M9" s="3">
        <v>40</v>
      </c>
      <c r="N9" s="3"/>
      <c r="O9" s="3"/>
    </row>
    <row r="10" spans="1:23" ht="15.75" x14ac:dyDescent="0.5">
      <c r="A10" s="4" t="s">
        <v>8</v>
      </c>
      <c r="B10" s="3">
        <f>SUM(C10:U10)</f>
        <v>2901.75</v>
      </c>
      <c r="C10" s="3">
        <f>SUM(53.6+80+120+81)</f>
        <v>334.6</v>
      </c>
      <c r="D10" s="3">
        <f>SUM(54+80+53+55.5+85+56)</f>
        <v>383.5</v>
      </c>
      <c r="E10" s="3">
        <f>SUM(34+80+52+67+85+34+57)</f>
        <v>409</v>
      </c>
      <c r="F10" s="3">
        <f>SUM(54+53+80+67+81+51+51+52)</f>
        <v>489</v>
      </c>
      <c r="G10" s="3">
        <v>363</v>
      </c>
      <c r="H10" s="3">
        <v>263.35000000000002</v>
      </c>
      <c r="I10" s="3">
        <v>334.5</v>
      </c>
      <c r="J10" s="3">
        <v>251.8</v>
      </c>
      <c r="K10" s="3">
        <v>39</v>
      </c>
      <c r="L10" s="3">
        <v>34</v>
      </c>
      <c r="N10" s="3"/>
      <c r="O10" s="3"/>
    </row>
    <row r="11" spans="1:23" ht="15.75" x14ac:dyDescent="0.5">
      <c r="A11" s="4" t="s">
        <v>11</v>
      </c>
      <c r="B11" s="3">
        <f>SUM(C11:U11)</f>
        <v>2735.2</v>
      </c>
      <c r="C11" s="3">
        <f>SUM(84+82+80+120)</f>
        <v>366</v>
      </c>
      <c r="D11" s="3">
        <f>SUM(46+81+83)</f>
        <v>210</v>
      </c>
      <c r="E11" s="3">
        <f>SUM(81+50+84+80+80+81+100+85+80)</f>
        <v>721</v>
      </c>
      <c r="F11" s="3">
        <f>SUM(81+51+65+45+80+50+84)</f>
        <v>456</v>
      </c>
      <c r="G11" s="3">
        <v>183.5</v>
      </c>
      <c r="H11" s="3">
        <v>326.2</v>
      </c>
      <c r="I11" s="3">
        <v>388.5</v>
      </c>
      <c r="J11" s="3">
        <v>84</v>
      </c>
      <c r="N11" s="3"/>
      <c r="O11" s="3"/>
    </row>
    <row r="12" spans="1:23" ht="15.75" x14ac:dyDescent="0.5">
      <c r="A12" s="4" t="s">
        <v>15</v>
      </c>
      <c r="B12" s="3">
        <f>SUM(C12:U12)</f>
        <v>2683.65</v>
      </c>
      <c r="C12" s="3">
        <f>SUM(54+120+50+80+82+120+82)</f>
        <v>588</v>
      </c>
      <c r="D12" s="3">
        <f>SUM(50+80+55.5+42.4+120+40.5+80+84)</f>
        <v>552.4</v>
      </c>
      <c r="E12" s="3">
        <f>SUM(50+53.6+53+80+67+51+81)</f>
        <v>435.6</v>
      </c>
      <c r="F12" s="3">
        <f>SUM(54+84)</f>
        <v>138</v>
      </c>
      <c r="G12" s="3">
        <v>188.5</v>
      </c>
      <c r="H12" s="3">
        <v>163.85</v>
      </c>
      <c r="I12" s="3">
        <v>328</v>
      </c>
      <c r="J12" s="3">
        <v>289.3</v>
      </c>
      <c r="N12" s="3"/>
      <c r="O12" s="3"/>
    </row>
    <row r="13" spans="1:23" ht="15.75" x14ac:dyDescent="0.5">
      <c r="A13" s="7" t="s">
        <v>24</v>
      </c>
      <c r="B13" s="3">
        <f>SUM(C13:U13)</f>
        <v>2635.9</v>
      </c>
      <c r="C13" s="3">
        <f>SUM(80.4+55+80+120+53.6+80+120+80+80+160+81+82+85.5)</f>
        <v>1157.5</v>
      </c>
      <c r="D13" s="3">
        <f>SUM(81+80+53+83+52+67+80+80+84)</f>
        <v>660</v>
      </c>
      <c r="E13" s="3">
        <f>SUM(50+80.4+52+31+67+85+51+59+57)</f>
        <v>532.4</v>
      </c>
      <c r="F13" s="3">
        <f>SUM(39+45+62+88+52)</f>
        <v>286</v>
      </c>
    </row>
    <row r="14" spans="1:23" ht="15.75" x14ac:dyDescent="0.5">
      <c r="A14" s="4" t="s">
        <v>18</v>
      </c>
      <c r="B14" s="3">
        <f>SUM(C14:U14)</f>
        <v>2468.9</v>
      </c>
      <c r="C14" s="3">
        <f>SUM(54+80.4+80+30+122+30+80+85.5)</f>
        <v>561.9</v>
      </c>
      <c r="D14" s="3">
        <f>SUM(120+81+120+83+67+52+120)</f>
        <v>643</v>
      </c>
      <c r="E14" s="3">
        <f>SUM(50+120+80+80+67+85+80)</f>
        <v>562</v>
      </c>
      <c r="F14" s="3">
        <f>SUM(84+80+67+81+120+52)</f>
        <v>484</v>
      </c>
      <c r="G14" s="3">
        <v>218</v>
      </c>
      <c r="I14" s="5"/>
      <c r="J14" s="5"/>
      <c r="N14" s="3"/>
      <c r="O14" s="3"/>
    </row>
    <row r="15" spans="1:23" ht="15.75" x14ac:dyDescent="0.5">
      <c r="A15" s="4" t="s">
        <v>10</v>
      </c>
      <c r="B15" s="3">
        <f>SUM(C15:U15)</f>
        <v>2459.5</v>
      </c>
      <c r="C15" s="3">
        <v>0</v>
      </c>
      <c r="D15" s="3">
        <v>0</v>
      </c>
      <c r="F15" s="3">
        <v>84</v>
      </c>
      <c r="G15" s="3">
        <v>440</v>
      </c>
      <c r="H15" s="3">
        <v>463</v>
      </c>
      <c r="I15" s="3">
        <v>483.5</v>
      </c>
      <c r="J15" s="3">
        <v>223</v>
      </c>
      <c r="K15" s="3">
        <v>177</v>
      </c>
      <c r="L15" s="3">
        <v>30</v>
      </c>
      <c r="M15" s="3">
        <v>109</v>
      </c>
      <c r="N15" s="3">
        <v>107</v>
      </c>
      <c r="O15" s="3">
        <v>96</v>
      </c>
      <c r="P15" s="3">
        <v>117</v>
      </c>
      <c r="Q15" s="3">
        <v>100</v>
      </c>
      <c r="R15" s="3">
        <v>30</v>
      </c>
    </row>
    <row r="16" spans="1:23" ht="15.75" x14ac:dyDescent="0.5">
      <c r="A16" s="4" t="s">
        <v>16</v>
      </c>
      <c r="B16" s="3">
        <f>SUM(C16:U16)</f>
        <v>2444.65</v>
      </c>
      <c r="C16" s="3">
        <f>SUM(30+80+120+120)</f>
        <v>350</v>
      </c>
      <c r="D16" s="3">
        <f>SUM(35+83)</f>
        <v>118</v>
      </c>
      <c r="E16" s="3">
        <f>SUM(120+53+120+120)</f>
        <v>413</v>
      </c>
      <c r="F16" s="3">
        <f>SUM(120+80+81)</f>
        <v>281</v>
      </c>
      <c r="G16" s="3">
        <v>312.5</v>
      </c>
      <c r="H16" s="3">
        <v>482.35</v>
      </c>
      <c r="I16" s="3">
        <v>340</v>
      </c>
      <c r="J16" s="3">
        <v>147.80000000000001</v>
      </c>
      <c r="N16" s="3"/>
      <c r="O16" s="3"/>
    </row>
    <row r="17" spans="1:21" ht="15.75" x14ac:dyDescent="0.5">
      <c r="A17" s="4" t="s">
        <v>14</v>
      </c>
      <c r="B17" s="3">
        <f>SUM(C17:U17)</f>
        <v>2233.8000000000002</v>
      </c>
      <c r="C17" s="3">
        <f>SUM(53.6+52)</f>
        <v>105.6</v>
      </c>
      <c r="D17" s="3">
        <f>SUM(46+80)</f>
        <v>126</v>
      </c>
      <c r="E17" s="3">
        <f>SUM(42+50)</f>
        <v>92</v>
      </c>
      <c r="H17" s="3">
        <v>206.2</v>
      </c>
      <c r="I17" s="3">
        <v>626</v>
      </c>
      <c r="J17" s="3">
        <v>531</v>
      </c>
      <c r="K17" s="3">
        <v>369</v>
      </c>
      <c r="L17" s="3">
        <v>178</v>
      </c>
      <c r="N17" s="3"/>
      <c r="O17" s="3"/>
    </row>
    <row r="18" spans="1:21" s="3" customFormat="1" ht="15.75" x14ac:dyDescent="0.5">
      <c r="A18" s="4" t="s">
        <v>17</v>
      </c>
      <c r="B18" s="3">
        <f>SUM(C18:U18)</f>
        <v>2115.6</v>
      </c>
      <c r="C18" s="3">
        <f>SUM(53.6+80)</f>
        <v>133.6</v>
      </c>
      <c r="D18" s="3">
        <f>SUM(54+80+83+84)</f>
        <v>301</v>
      </c>
      <c r="E18" s="6"/>
      <c r="F18" s="3">
        <f>SUM(81)</f>
        <v>81</v>
      </c>
      <c r="G18" s="3">
        <v>290.5</v>
      </c>
      <c r="H18" s="3">
        <v>194.5</v>
      </c>
      <c r="I18" s="3">
        <v>42</v>
      </c>
      <c r="J18" s="3">
        <v>44</v>
      </c>
      <c r="K18" s="3">
        <v>284</v>
      </c>
      <c r="L18" s="3">
        <v>251</v>
      </c>
      <c r="M18" s="3">
        <v>252</v>
      </c>
      <c r="N18" s="3">
        <v>242</v>
      </c>
      <c r="P18" s="6"/>
      <c r="Q18" s="6"/>
      <c r="R18" s="6"/>
      <c r="S18" s="6"/>
      <c r="T18" s="6"/>
      <c r="U18" s="6"/>
    </row>
    <row r="19" spans="1:21" s="5" customFormat="1" ht="15.75" x14ac:dyDescent="0.5">
      <c r="A19" s="4" t="s">
        <v>20</v>
      </c>
      <c r="B19" s="3">
        <f>SUM(C19:U19)</f>
        <v>1970.9</v>
      </c>
      <c r="C19" s="3">
        <f>SUM(120+34+40)</f>
        <v>194</v>
      </c>
      <c r="D19" s="3">
        <f>SUM(46+81+80+82.4+32)</f>
        <v>321.39999999999998</v>
      </c>
      <c r="E19" s="3">
        <f>SUM(34+52)</f>
        <v>86</v>
      </c>
      <c r="F19" s="3">
        <f>SUM(37+89)</f>
        <v>126</v>
      </c>
      <c r="G19" s="3">
        <v>153.5</v>
      </c>
      <c r="H19" s="3">
        <v>225</v>
      </c>
      <c r="I19" s="3">
        <v>57.5</v>
      </c>
      <c r="J19" s="3">
        <v>502.5</v>
      </c>
      <c r="K19" s="3">
        <v>234</v>
      </c>
      <c r="L19" s="3">
        <v>71</v>
      </c>
      <c r="N19" s="3"/>
      <c r="O19" s="3"/>
    </row>
    <row r="20" spans="1:21" ht="15.75" x14ac:dyDescent="0.5">
      <c r="A20" s="4" t="s">
        <v>19</v>
      </c>
      <c r="B20" s="3">
        <f>SUM(C20:U20)</f>
        <v>1804</v>
      </c>
      <c r="C20" s="3">
        <v>0</v>
      </c>
      <c r="D20" s="3"/>
      <c r="E20" s="3"/>
      <c r="F20" s="3"/>
      <c r="G20" s="3"/>
      <c r="H20" s="3"/>
      <c r="I20" s="3"/>
      <c r="J20" s="3">
        <v>90</v>
      </c>
      <c r="K20" s="3">
        <v>837</v>
      </c>
      <c r="L20" s="3">
        <v>494</v>
      </c>
      <c r="M20" s="3">
        <v>34</v>
      </c>
      <c r="N20" s="3"/>
      <c r="O20" s="3">
        <v>100</v>
      </c>
      <c r="P20" s="3">
        <v>39</v>
      </c>
      <c r="Q20" s="3">
        <v>50</v>
      </c>
      <c r="R20" s="3">
        <v>80</v>
      </c>
      <c r="S20" s="3">
        <v>80</v>
      </c>
      <c r="T20" s="3"/>
      <c r="U20" s="3"/>
    </row>
    <row r="21" spans="1:21" ht="15.75" x14ac:dyDescent="0.5">
      <c r="A21" s="4" t="s">
        <v>23</v>
      </c>
      <c r="B21" s="3">
        <f>SUM(C21:U21)</f>
        <v>1780.5</v>
      </c>
      <c r="C21" s="3">
        <f>SUM(53.6+49+52+81)</f>
        <v>235.6</v>
      </c>
      <c r="D21" s="3">
        <f>SUM(46+54+55.5)</f>
        <v>155.5</v>
      </c>
      <c r="E21" s="3">
        <f>SUM(50+80.4+53+120+31+67+85+34+120+85+81)</f>
        <v>806.4</v>
      </c>
      <c r="F21" s="3">
        <f>SUM(81+84+67+51+80+52)</f>
        <v>415</v>
      </c>
      <c r="G21" s="3">
        <v>86</v>
      </c>
      <c r="H21" s="3">
        <v>82</v>
      </c>
      <c r="I21" s="5"/>
      <c r="J21" s="5"/>
      <c r="K21" s="5"/>
      <c r="L21" s="5"/>
      <c r="M21" s="5"/>
      <c r="N21" s="3"/>
      <c r="O21" s="3"/>
      <c r="P21" s="5"/>
      <c r="Q21" s="5"/>
      <c r="R21" s="5"/>
      <c r="S21" s="5"/>
      <c r="T21" s="5"/>
      <c r="U21" s="5"/>
    </row>
    <row r="22" spans="1:21" ht="15.75" x14ac:dyDescent="0.5">
      <c r="A22" s="4" t="s">
        <v>26</v>
      </c>
      <c r="B22" s="3">
        <f>SUM(C22:U22)</f>
        <v>1710.4</v>
      </c>
      <c r="C22" s="3">
        <f>SUM(55+80+50+120+80)</f>
        <v>385</v>
      </c>
      <c r="D22" s="3">
        <f>SUM(54+80+53+67+52+120+80+84)</f>
        <v>590</v>
      </c>
      <c r="E22" s="3">
        <f>SUM(50+80.4+84+80+80+67+85+84)</f>
        <v>610.4</v>
      </c>
      <c r="F22" s="3">
        <f>SUM(34+39+52)</f>
        <v>125</v>
      </c>
      <c r="J22" s="5"/>
      <c r="K22" s="5"/>
      <c r="L22" s="5"/>
      <c r="M22" s="5"/>
      <c r="P22" s="5"/>
      <c r="Q22" s="5"/>
      <c r="R22" s="5"/>
      <c r="S22" s="5"/>
      <c r="T22" s="5"/>
      <c r="U22" s="5"/>
    </row>
    <row r="23" spans="1:21" ht="15.75" x14ac:dyDescent="0.5">
      <c r="A23" s="4" t="s">
        <v>21</v>
      </c>
      <c r="B23" s="3">
        <f>SUM(C23:U23)</f>
        <v>1671</v>
      </c>
      <c r="C23" s="3">
        <v>0</v>
      </c>
      <c r="D23" s="3">
        <f>SUM(46+50+83+120+80+80+80+120)</f>
        <v>659</v>
      </c>
      <c r="E23" s="3">
        <f>SUM(51+81)</f>
        <v>132</v>
      </c>
      <c r="F23" s="3">
        <f>SUM(54+51)</f>
        <v>105</v>
      </c>
      <c r="G23" s="3">
        <v>60</v>
      </c>
      <c r="H23" s="3">
        <v>98</v>
      </c>
      <c r="I23" s="3">
        <v>280.5</v>
      </c>
      <c r="J23" s="3">
        <v>336.5</v>
      </c>
      <c r="N23" s="3"/>
      <c r="O23" s="3"/>
    </row>
    <row r="24" spans="1:21" ht="15.75" x14ac:dyDescent="0.5">
      <c r="A24" s="4" t="s">
        <v>22</v>
      </c>
      <c r="B24" s="3">
        <f>SUM(C24:U24)</f>
        <v>1659</v>
      </c>
      <c r="C24" s="3">
        <f>SUM(82)</f>
        <v>82</v>
      </c>
      <c r="D24" s="3">
        <f>SUM(81+100)</f>
        <v>181</v>
      </c>
      <c r="E24" s="3">
        <f>SUM(31)</f>
        <v>31</v>
      </c>
      <c r="F24" s="3">
        <f>SUM(30+51)</f>
        <v>81</v>
      </c>
      <c r="I24" s="5"/>
      <c r="J24" s="5"/>
      <c r="K24" s="3">
        <v>354</v>
      </c>
      <c r="L24" s="3">
        <v>582</v>
      </c>
      <c r="M24" s="3">
        <v>262</v>
      </c>
      <c r="N24" s="3">
        <v>55</v>
      </c>
      <c r="O24" s="3">
        <v>31</v>
      </c>
    </row>
    <row r="25" spans="1:21" ht="15.75" x14ac:dyDescent="0.5">
      <c r="A25" s="4" t="s">
        <v>31</v>
      </c>
      <c r="B25" s="3">
        <f>SUM(C25:U25)</f>
        <v>1526.6</v>
      </c>
      <c r="C25" s="3">
        <f>SUM(54+80+53.6+80+80)</f>
        <v>347.6</v>
      </c>
      <c r="D25" s="3">
        <f>SUM(46+30+50+52+83+40.5+80)</f>
        <v>381.5</v>
      </c>
      <c r="E25" s="3">
        <f>SUM(53+80+50+67+36)</f>
        <v>286</v>
      </c>
      <c r="F25" s="3">
        <f>SUM(32+80+51+67+45+51)</f>
        <v>326</v>
      </c>
      <c r="G25" s="3">
        <v>143.5</v>
      </c>
      <c r="H25" s="3">
        <v>42</v>
      </c>
      <c r="N25" s="3"/>
      <c r="O25" s="3"/>
    </row>
    <row r="26" spans="1:21" ht="15.75" x14ac:dyDescent="0.5">
      <c r="A26" s="4" t="s">
        <v>25</v>
      </c>
      <c r="B26" s="3">
        <f>SUM(C26:U26)</f>
        <v>1455.8</v>
      </c>
      <c r="C26" s="3">
        <f>SUM(120)</f>
        <v>120</v>
      </c>
      <c r="D26" s="3">
        <f>SUM(33.6+33.6+42.4+42.4+82.4+80+100)</f>
        <v>414.4</v>
      </c>
      <c r="E26" s="3">
        <f>SUM(34.6+45.9+48.4+81)</f>
        <v>209.9</v>
      </c>
      <c r="F26" s="3">
        <f>SUM(81)</f>
        <v>81</v>
      </c>
      <c r="H26" s="3">
        <v>213.5</v>
      </c>
      <c r="L26" s="3">
        <v>349</v>
      </c>
      <c r="M26" s="3">
        <v>68</v>
      </c>
      <c r="N26" s="3"/>
      <c r="O26" s="3"/>
    </row>
    <row r="27" spans="1:21" ht="15.75" x14ac:dyDescent="0.5">
      <c r="A27" s="4" t="s">
        <v>27</v>
      </c>
      <c r="B27" s="3">
        <f>SUM(C27:U27)</f>
        <v>1410</v>
      </c>
      <c r="C27" s="3">
        <f>SUM(100+100)</f>
        <v>200</v>
      </c>
      <c r="D27" s="3">
        <f>SUM(120+120)</f>
        <v>240</v>
      </c>
      <c r="E27" s="3">
        <f>SUM(80+120+120+80+80+120+80)</f>
        <v>680</v>
      </c>
      <c r="F27" s="3">
        <f>SUM(34+45+51+80+80)</f>
        <v>290</v>
      </c>
    </row>
    <row r="28" spans="1:21" ht="15.75" x14ac:dyDescent="0.5">
      <c r="A28" s="4" t="s">
        <v>37</v>
      </c>
      <c r="B28" s="3">
        <f>SUM(C28:U28)</f>
        <v>1288.5999999999999</v>
      </c>
      <c r="C28" s="3">
        <f>SUM(53.6+87.6+120+80+82+52.5)</f>
        <v>475.7</v>
      </c>
      <c r="D28" s="3">
        <f>SUM(54+80+53+67+32)</f>
        <v>286</v>
      </c>
      <c r="E28" s="3">
        <f>SUM(80.4+80+67+84)</f>
        <v>311.39999999999998</v>
      </c>
      <c r="F28" s="3">
        <f>SUM(54+67+52)</f>
        <v>173</v>
      </c>
      <c r="G28" s="3">
        <v>42.5</v>
      </c>
      <c r="N28" s="3"/>
      <c r="O28" s="3"/>
    </row>
    <row r="29" spans="1:21" ht="15.75" x14ac:dyDescent="0.5">
      <c r="A29" s="4" t="s">
        <v>30</v>
      </c>
      <c r="B29" s="3">
        <f>SUM(C29:U29)</f>
        <v>1285.95</v>
      </c>
      <c r="C29" s="3">
        <f>SUM(82)</f>
        <v>82</v>
      </c>
      <c r="D29" s="3">
        <v>0</v>
      </c>
      <c r="E29" s="3">
        <f>SUM(53.6+84)</f>
        <v>137.6</v>
      </c>
      <c r="G29" s="3">
        <v>52.5</v>
      </c>
      <c r="H29" s="3">
        <v>224.85</v>
      </c>
      <c r="I29" s="3">
        <v>281</v>
      </c>
      <c r="J29" s="3">
        <v>386</v>
      </c>
      <c r="K29" s="3">
        <v>122</v>
      </c>
      <c r="N29" s="3"/>
      <c r="O29" s="3"/>
    </row>
    <row r="30" spans="1:21" ht="15.75" x14ac:dyDescent="0.5">
      <c r="A30" s="4" t="s">
        <v>28</v>
      </c>
      <c r="B30" s="3">
        <f>SUM(C30:U30)</f>
        <v>1219.0999999999999</v>
      </c>
      <c r="C30" s="3">
        <v>0</v>
      </c>
      <c r="D30" s="3">
        <v>0</v>
      </c>
      <c r="E30" s="3">
        <f>SUM(80.4+34+120+52+50+89+81+81)</f>
        <v>587.4</v>
      </c>
      <c r="F30" s="3">
        <f>SUM(38.5+80+86.2+51+80)</f>
        <v>335.7</v>
      </c>
      <c r="G30" s="3">
        <f>SUM(60+52.5+60+81)</f>
        <v>253.5</v>
      </c>
      <c r="H30" s="3">
        <f>SUM(42.5)</f>
        <v>42.5</v>
      </c>
    </row>
    <row r="31" spans="1:21" s="3" customFormat="1" ht="15.75" x14ac:dyDescent="0.5">
      <c r="A31" s="4" t="s">
        <v>29</v>
      </c>
      <c r="B31" s="3">
        <f>SUM(C31:U31)</f>
        <v>1210.8499999999999</v>
      </c>
      <c r="C31" s="3">
        <v>0</v>
      </c>
      <c r="D31" s="3">
        <v>0</v>
      </c>
      <c r="E31" s="6"/>
      <c r="F31" s="6"/>
      <c r="G31" s="3">
        <v>200</v>
      </c>
      <c r="H31" s="3">
        <v>262.85000000000002</v>
      </c>
      <c r="I31" s="6"/>
      <c r="J31" s="6"/>
      <c r="K31" s="6"/>
      <c r="L31" s="3">
        <v>280</v>
      </c>
      <c r="M31" s="6"/>
      <c r="N31" s="3">
        <v>78</v>
      </c>
      <c r="O31" s="3">
        <v>100</v>
      </c>
      <c r="P31" s="6"/>
      <c r="Q31" s="3">
        <v>50</v>
      </c>
      <c r="R31" s="3">
        <v>160</v>
      </c>
      <c r="S31" s="3">
        <v>80</v>
      </c>
      <c r="T31" s="6"/>
      <c r="U31" s="6"/>
    </row>
    <row r="32" spans="1:21" s="5" customFormat="1" ht="15.75" x14ac:dyDescent="0.5">
      <c r="A32" s="4" t="s">
        <v>38</v>
      </c>
      <c r="B32" s="3">
        <f>SUM(C32:U32)</f>
        <v>1201.8</v>
      </c>
      <c r="C32" s="3">
        <f>SUM(54+35+60+30+50+80+82)</f>
        <v>391</v>
      </c>
      <c r="D32" s="3">
        <f>SUM(35+30+52+52)</f>
        <v>169</v>
      </c>
      <c r="E32" s="6"/>
      <c r="F32" s="6"/>
      <c r="G32" s="6"/>
      <c r="H32" s="6"/>
      <c r="I32" s="3">
        <v>101</v>
      </c>
      <c r="J32" s="3">
        <v>197.8</v>
      </c>
      <c r="K32" s="3">
        <v>343</v>
      </c>
      <c r="N32" s="3"/>
      <c r="O32" s="3"/>
    </row>
    <row r="33" spans="1:22" ht="15.75" x14ac:dyDescent="0.5">
      <c r="A33" s="4" t="s">
        <v>32</v>
      </c>
      <c r="B33" s="3">
        <f>SUM(C33:U33)</f>
        <v>1139</v>
      </c>
      <c r="C33" s="3">
        <f>SUM(53.6+55)</f>
        <v>108.6</v>
      </c>
      <c r="D33" s="3">
        <f>SUM(120+84+85+84)</f>
        <v>373</v>
      </c>
      <c r="E33" s="3">
        <f>SUM(50+80.4+53+89+85)</f>
        <v>357.4</v>
      </c>
      <c r="F33" s="3">
        <f>SUM(51+67+88+52)</f>
        <v>258</v>
      </c>
      <c r="G33" s="3">
        <v>42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2" ht="15.75" x14ac:dyDescent="0.5">
      <c r="A34" s="4" t="s">
        <v>36</v>
      </c>
      <c r="B34" s="3">
        <f>SUM(C34:U34)</f>
        <v>1122.5</v>
      </c>
      <c r="C34" s="3">
        <f>SUM(120+50+85.5)</f>
        <v>255.5</v>
      </c>
      <c r="D34" s="3">
        <f>SUM(54+80+85+120)</f>
        <v>339</v>
      </c>
      <c r="E34" s="3">
        <f>SUM(50+52+81+84+81)</f>
        <v>348</v>
      </c>
      <c r="F34" s="3">
        <f>SUM(37+52)</f>
        <v>89</v>
      </c>
      <c r="L34" s="3">
        <v>51</v>
      </c>
      <c r="M34" s="3">
        <v>40</v>
      </c>
      <c r="N34" s="3"/>
      <c r="O34" s="3"/>
    </row>
    <row r="35" spans="1:22" ht="15.75" x14ac:dyDescent="0.5">
      <c r="A35" s="4" t="s">
        <v>33</v>
      </c>
      <c r="B35" s="3">
        <f>SUM(C35:U35)</f>
        <v>1069.8499999999999</v>
      </c>
      <c r="C35" s="3">
        <f>SUM(54+52)</f>
        <v>106</v>
      </c>
      <c r="D35" s="3">
        <f>SUM(50+54+53+52)</f>
        <v>209</v>
      </c>
      <c r="E35" s="3">
        <f>SUM(52+51)</f>
        <v>103</v>
      </c>
      <c r="F35" s="3">
        <f>SUM(80+80)</f>
        <v>160</v>
      </c>
      <c r="G35" s="3">
        <v>262</v>
      </c>
      <c r="H35" s="3">
        <v>187.85</v>
      </c>
      <c r="I35" s="3">
        <v>42</v>
      </c>
      <c r="J35" s="5"/>
      <c r="K35" s="5"/>
      <c r="L35" s="5"/>
      <c r="M35" s="5"/>
      <c r="N35" s="3"/>
      <c r="O35" s="3"/>
      <c r="P35" s="5"/>
      <c r="Q35" s="5"/>
      <c r="R35" s="5"/>
      <c r="S35" s="5"/>
      <c r="T35" s="5"/>
      <c r="U35" s="5"/>
    </row>
    <row r="36" spans="1:22" ht="15.75" x14ac:dyDescent="0.5">
      <c r="A36" s="4" t="s">
        <v>34</v>
      </c>
      <c r="B36" s="3">
        <f>SUM(C36:U36)</f>
        <v>1003.35</v>
      </c>
      <c r="C36" s="3">
        <f>SUM(30+50+52.5)</f>
        <v>132.5</v>
      </c>
      <c r="D36" s="3">
        <f>SUM(52)</f>
        <v>52</v>
      </c>
      <c r="E36" s="3">
        <f>SUM(34+50+52)</f>
        <v>136</v>
      </c>
      <c r="F36" s="3">
        <f>SUM(30+53+34+62)</f>
        <v>179</v>
      </c>
      <c r="G36" s="3">
        <v>52.5</v>
      </c>
      <c r="H36" s="3">
        <v>187.85</v>
      </c>
      <c r="I36" s="3">
        <v>229.5</v>
      </c>
      <c r="J36" s="3">
        <v>34</v>
      </c>
      <c r="N36" s="3"/>
      <c r="O36" s="3"/>
    </row>
    <row r="37" spans="1:22" ht="15.75" x14ac:dyDescent="0.5">
      <c r="A37" s="4" t="s">
        <v>45</v>
      </c>
      <c r="B37" s="3">
        <f>SUM(C37:U37)</f>
        <v>972</v>
      </c>
      <c r="C37" s="3">
        <f>SUM(54+120+120)</f>
        <v>294</v>
      </c>
      <c r="D37" s="3">
        <f>SUM(46+80+84+85+80)</f>
        <v>375</v>
      </c>
      <c r="E37" s="3">
        <f>SUM(42+50+67+85+59)</f>
        <v>303</v>
      </c>
    </row>
    <row r="38" spans="1:22" ht="15.75" x14ac:dyDescent="0.5">
      <c r="A38" s="4" t="s">
        <v>52</v>
      </c>
      <c r="B38" s="3">
        <f>SUM(C38:U38)</f>
        <v>897.6</v>
      </c>
      <c r="C38" s="3">
        <f>SUM(53.6+49+80+80+50)</f>
        <v>312.60000000000002</v>
      </c>
      <c r="D38" s="3">
        <f>SUM(54+50+53+31+44)</f>
        <v>232</v>
      </c>
      <c r="E38" s="3">
        <f>SUM(53+50+38)</f>
        <v>141</v>
      </c>
      <c r="F38" s="3">
        <f>SUM(80)</f>
        <v>80</v>
      </c>
      <c r="G38" s="3">
        <v>132</v>
      </c>
      <c r="N38" s="3"/>
      <c r="O38" s="3"/>
    </row>
    <row r="39" spans="1:22" ht="15.75" x14ac:dyDescent="0.5">
      <c r="A39" s="4" t="s">
        <v>49</v>
      </c>
      <c r="B39" s="3">
        <f>SUM(C39:U39)</f>
        <v>875.1</v>
      </c>
      <c r="C39" s="3">
        <f>SUM(64+53.6+60+80)</f>
        <v>257.60000000000002</v>
      </c>
      <c r="D39" s="3">
        <f>SUM(54+34+31+34+32)</f>
        <v>185</v>
      </c>
      <c r="E39" s="3">
        <f>SUM(50+81+67+85)</f>
        <v>283</v>
      </c>
      <c r="F39" s="3">
        <f>SUM(54+53)</f>
        <v>107</v>
      </c>
      <c r="H39" s="3">
        <v>42.5</v>
      </c>
      <c r="N39" s="3"/>
      <c r="O39" s="3"/>
    </row>
    <row r="40" spans="1:22" ht="15.75" x14ac:dyDescent="0.5">
      <c r="A40" s="4" t="s">
        <v>35</v>
      </c>
      <c r="B40" s="3">
        <f>SUM(C40:U40)</f>
        <v>868.6</v>
      </c>
      <c r="C40" s="3">
        <v>0</v>
      </c>
      <c r="D40" s="3">
        <f>SUM(80+83)</f>
        <v>163</v>
      </c>
      <c r="E40" s="3">
        <f>SUM(53.6+120+59+81)</f>
        <v>313.60000000000002</v>
      </c>
      <c r="F40" s="3">
        <f>SUM(34+54+81)</f>
        <v>169</v>
      </c>
      <c r="G40" s="3">
        <v>181</v>
      </c>
      <c r="H40" s="3">
        <v>42</v>
      </c>
      <c r="N40" s="3"/>
      <c r="O40" s="3"/>
    </row>
    <row r="41" spans="1:22" ht="15.75" x14ac:dyDescent="0.5">
      <c r="A41" s="4" t="s">
        <v>51</v>
      </c>
      <c r="B41" s="3">
        <f>SUM(C41:U41)</f>
        <v>864.2</v>
      </c>
      <c r="C41" s="3">
        <f>SUM(55+87.6+80+52.5)</f>
        <v>275.10000000000002</v>
      </c>
      <c r="D41" s="3">
        <f>SUM(33.6+42.4+42.4+82.4+82.4+100)</f>
        <v>383.20000000000005</v>
      </c>
      <c r="E41" s="3">
        <f>SUM(30.6+45.9+48.4+81)</f>
        <v>205.9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2" ht="15.75" x14ac:dyDescent="0.5">
      <c r="A42" s="4" t="s">
        <v>69</v>
      </c>
      <c r="B42" s="3">
        <f>SUM(C42:U42)</f>
        <v>827.1</v>
      </c>
      <c r="C42" s="3">
        <f>SUM(54+53.6+60+52+40+50+50+52)</f>
        <v>411.6</v>
      </c>
      <c r="D42" s="3">
        <f>SUM(46+54+53+52+31+40.5)</f>
        <v>276.5</v>
      </c>
      <c r="E42" s="3">
        <f>SUM(31+51+57)</f>
        <v>139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2" ht="15.75" x14ac:dyDescent="0.5">
      <c r="A43" s="4" t="s">
        <v>39</v>
      </c>
      <c r="B43" s="3">
        <f>SUM(C43:U43)</f>
        <v>804.35</v>
      </c>
      <c r="C43" s="3">
        <v>0</v>
      </c>
      <c r="D43" s="3">
        <v>0</v>
      </c>
      <c r="F43" s="3">
        <f>SUM(53+80+67)</f>
        <v>200</v>
      </c>
      <c r="G43" s="3">
        <v>80</v>
      </c>
      <c r="H43" s="3">
        <v>425.85</v>
      </c>
      <c r="I43" s="3">
        <v>98.5</v>
      </c>
      <c r="N43" s="3"/>
      <c r="O43" s="3"/>
    </row>
    <row r="44" spans="1:22" ht="15.75" x14ac:dyDescent="0.5">
      <c r="A44" s="4" t="s">
        <v>50</v>
      </c>
      <c r="B44" s="3">
        <f>SUM(C44:U44)</f>
        <v>793.5</v>
      </c>
      <c r="C44" s="3">
        <f>SUM(120+80)</f>
        <v>200</v>
      </c>
      <c r="D44" s="3">
        <f>SUM(54+84+83+40.5+80+32)</f>
        <v>373.5</v>
      </c>
      <c r="E44" s="3">
        <f>SUM(31+67+51)</f>
        <v>149</v>
      </c>
      <c r="F44" s="3">
        <f>SUM(37+34)</f>
        <v>71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3"/>
    </row>
    <row r="45" spans="1:22" ht="15.75" x14ac:dyDescent="0.5">
      <c r="A45" s="11" t="s">
        <v>186</v>
      </c>
      <c r="B45" s="3">
        <f>SUM(C45:U45)</f>
        <v>783</v>
      </c>
      <c r="C45" s="3">
        <f>SUM(55+49+80+80+120+80+82+80+85.5)</f>
        <v>711.5</v>
      </c>
      <c r="D45" s="3">
        <f>SUM(31+40.5)</f>
        <v>71.5</v>
      </c>
    </row>
    <row r="46" spans="1:22" ht="15.75" x14ac:dyDescent="0.5">
      <c r="A46" s="4" t="s">
        <v>55</v>
      </c>
      <c r="B46" s="3">
        <f>SUM(C46:U46)</f>
        <v>770.6</v>
      </c>
      <c r="C46" s="3">
        <f>SUM(87.6+30+80)</f>
        <v>197.6</v>
      </c>
      <c r="D46" s="3">
        <f>SUM(42.4+42.4+32.8+42.4+82.4+82.4+80+84)</f>
        <v>488.8</v>
      </c>
      <c r="E46" s="3">
        <f>SUM(34.6+49.6)</f>
        <v>84.2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2" ht="15.75" x14ac:dyDescent="0.5">
      <c r="A47" s="4" t="s">
        <v>40</v>
      </c>
      <c r="B47" s="3">
        <f>SUM(C47:U47)</f>
        <v>744.3</v>
      </c>
      <c r="C47" s="3">
        <v>0</v>
      </c>
      <c r="D47" s="3">
        <v>0</v>
      </c>
      <c r="F47" s="3">
        <f>SUM(34+67+51)</f>
        <v>152</v>
      </c>
      <c r="I47" s="3">
        <v>84</v>
      </c>
      <c r="J47" s="3">
        <v>345.3</v>
      </c>
      <c r="K47" s="3">
        <v>163</v>
      </c>
      <c r="N47" s="3"/>
      <c r="O47" s="3"/>
    </row>
    <row r="48" spans="1:22" ht="15.75" x14ac:dyDescent="0.5">
      <c r="A48" s="4" t="s">
        <v>62</v>
      </c>
      <c r="B48" s="3">
        <f>SUM(C48:U48)</f>
        <v>733.1</v>
      </c>
      <c r="C48" s="3">
        <f>SUM(60+53.6+80+82)</f>
        <v>275.60000000000002</v>
      </c>
      <c r="D48" s="3">
        <f>SUM(30+32+31+40.5+56)</f>
        <v>189.5</v>
      </c>
      <c r="E48" s="5"/>
      <c r="F48" s="3">
        <f>SUM(81+53)</f>
        <v>134</v>
      </c>
      <c r="G48" s="3">
        <v>50</v>
      </c>
      <c r="H48" s="5"/>
      <c r="I48" s="3">
        <v>84</v>
      </c>
      <c r="J48" s="5"/>
      <c r="K48" s="5"/>
      <c r="L48" s="5"/>
      <c r="M48" s="5"/>
      <c r="N48" s="3"/>
      <c r="O48" s="3"/>
      <c r="P48" s="5"/>
      <c r="Q48" s="5"/>
      <c r="R48" s="5"/>
      <c r="S48" s="5"/>
      <c r="T48" s="5"/>
      <c r="U48" s="5"/>
    </row>
    <row r="49" spans="1:21" ht="15.75" x14ac:dyDescent="0.5">
      <c r="A49" s="4" t="s">
        <v>64</v>
      </c>
      <c r="B49" s="3">
        <f>SUM(C49:U49)</f>
        <v>725.2</v>
      </c>
      <c r="C49" s="3">
        <f>SUM(53.6+55+80+80)</f>
        <v>268.60000000000002</v>
      </c>
      <c r="D49" s="3">
        <f>SUM(54+80+34+56)</f>
        <v>224</v>
      </c>
      <c r="E49" s="3">
        <f>SUM(53.6+85+57)</f>
        <v>195.6</v>
      </c>
      <c r="F49" s="3">
        <f>SUM(37)</f>
        <v>37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 x14ac:dyDescent="0.5">
      <c r="A50" s="4" t="s">
        <v>41</v>
      </c>
      <c r="B50" s="3">
        <f>SUM(C50:U50)</f>
        <v>712.5</v>
      </c>
      <c r="C50" s="3">
        <v>0</v>
      </c>
      <c r="D50" s="3">
        <f>SUM(34)</f>
        <v>34</v>
      </c>
      <c r="E50" s="3">
        <f>SUM(50)</f>
        <v>50</v>
      </c>
      <c r="F50" s="3">
        <f>SUM(54+53+51+67)</f>
        <v>225</v>
      </c>
      <c r="G50" s="3">
        <v>197</v>
      </c>
      <c r="H50" s="3">
        <v>124.5</v>
      </c>
      <c r="I50" s="3">
        <v>82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 x14ac:dyDescent="0.5">
      <c r="A51" s="4" t="s">
        <v>42</v>
      </c>
      <c r="B51" s="3">
        <f>SUM(C51:U51)</f>
        <v>696.5</v>
      </c>
      <c r="C51" s="3">
        <v>0</v>
      </c>
      <c r="D51" s="3">
        <f>SUM(32)</f>
        <v>32</v>
      </c>
      <c r="E51" s="3">
        <f>SUM(50)</f>
        <v>50</v>
      </c>
      <c r="F51" s="3">
        <f>SUM(30+34+34+39)</f>
        <v>137</v>
      </c>
      <c r="G51" s="3">
        <v>42.5</v>
      </c>
      <c r="H51" s="3">
        <v>171</v>
      </c>
      <c r="I51" s="3">
        <v>124</v>
      </c>
      <c r="K51" s="3">
        <v>71</v>
      </c>
      <c r="M51" s="3">
        <v>69</v>
      </c>
      <c r="N51" s="3"/>
      <c r="O51" s="3"/>
    </row>
    <row r="52" spans="1:21" ht="15.75" x14ac:dyDescent="0.5">
      <c r="A52" s="4" t="s">
        <v>48</v>
      </c>
      <c r="B52" s="3">
        <f>SUM(C52:U52)</f>
        <v>693.6</v>
      </c>
      <c r="C52" s="3">
        <f>SUM(60)</f>
        <v>60</v>
      </c>
      <c r="D52" s="3">
        <f>SUM(30+53+83+32)</f>
        <v>198</v>
      </c>
      <c r="E52" s="3">
        <f>SUM(50+53.6+52+51)</f>
        <v>206.6</v>
      </c>
      <c r="F52" s="3">
        <f>SUM(34+45+62+88)</f>
        <v>229</v>
      </c>
    </row>
    <row r="53" spans="1:21" ht="15.75" x14ac:dyDescent="0.5">
      <c r="A53" s="4" t="s">
        <v>43</v>
      </c>
      <c r="B53" s="3">
        <f>SUM(C53:U53)</f>
        <v>688</v>
      </c>
      <c r="C53" s="3">
        <v>0</v>
      </c>
      <c r="D53" s="3">
        <v>0</v>
      </c>
      <c r="K53" s="3">
        <v>128</v>
      </c>
      <c r="L53" s="3">
        <v>265</v>
      </c>
      <c r="M53" s="3">
        <v>295</v>
      </c>
      <c r="N53" s="3"/>
      <c r="O53" s="3"/>
      <c r="P53" s="5"/>
      <c r="Q53" s="5"/>
      <c r="R53" s="5"/>
      <c r="S53" s="5"/>
      <c r="T53" s="5"/>
      <c r="U53" s="5"/>
    </row>
    <row r="54" spans="1:21" ht="15.75" x14ac:dyDescent="0.5">
      <c r="A54" s="3" t="s">
        <v>44</v>
      </c>
      <c r="B54" s="3">
        <f>SUM(C54:U54)</f>
        <v>680</v>
      </c>
      <c r="C54" s="3">
        <v>0</v>
      </c>
      <c r="D54" s="3">
        <f>SUM(34)</f>
        <v>34</v>
      </c>
      <c r="F54" s="3">
        <f>SUM(51)</f>
        <v>51</v>
      </c>
      <c r="I54" s="3">
        <v>85</v>
      </c>
      <c r="J54" s="3">
        <v>144</v>
      </c>
      <c r="K54" s="3">
        <v>142</v>
      </c>
      <c r="L54" s="3">
        <v>224</v>
      </c>
      <c r="N54" s="3"/>
      <c r="O54" s="3"/>
    </row>
    <row r="55" spans="1:21" ht="15.75" x14ac:dyDescent="0.5">
      <c r="A55" s="4" t="s">
        <v>53</v>
      </c>
      <c r="B55" s="3">
        <f>SUM(C55:U55)</f>
        <v>667</v>
      </c>
      <c r="C55" s="3">
        <f>SUM(82)</f>
        <v>82</v>
      </c>
      <c r="D55" s="3">
        <v>0</v>
      </c>
      <c r="G55" s="3">
        <v>112.5</v>
      </c>
      <c r="I55" s="3">
        <v>219.5</v>
      </c>
      <c r="J55" s="3">
        <v>162</v>
      </c>
      <c r="K55" s="3">
        <v>91</v>
      </c>
      <c r="N55" s="3"/>
      <c r="O55" s="3"/>
    </row>
    <row r="56" spans="1:21" ht="15.75" x14ac:dyDescent="0.5">
      <c r="A56" s="11" t="s">
        <v>65</v>
      </c>
      <c r="B56" s="3">
        <f>SUM(C56:U56)</f>
        <v>655.6</v>
      </c>
      <c r="C56" s="3">
        <f>SUM(80+120)</f>
        <v>200</v>
      </c>
      <c r="D56" s="3">
        <f>SUM(33.6+52+50+80+80+80+80)</f>
        <v>455.6</v>
      </c>
    </row>
    <row r="57" spans="1:21" ht="15.75" x14ac:dyDescent="0.5">
      <c r="A57" s="4" t="s">
        <v>54</v>
      </c>
      <c r="B57" s="3">
        <f>SUM(C57:U57)</f>
        <v>655.4</v>
      </c>
      <c r="C57" s="3">
        <f>SUM(80)</f>
        <v>80</v>
      </c>
      <c r="D57" s="3">
        <f>SUM(67)</f>
        <v>67</v>
      </c>
      <c r="E57" s="3">
        <f>SUM(80.4+84+85+81)</f>
        <v>330.4</v>
      </c>
      <c r="F57" s="3">
        <f>SUM(30+45+51+52)</f>
        <v>178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 x14ac:dyDescent="0.5">
      <c r="A58" s="4" t="s">
        <v>46</v>
      </c>
      <c r="B58" s="3">
        <f>SUM(C58:U58)</f>
        <v>650</v>
      </c>
      <c r="C58" s="3">
        <v>0</v>
      </c>
      <c r="D58" s="3">
        <v>0</v>
      </c>
      <c r="F58" s="3">
        <f>SUM(39+38.5)</f>
        <v>77.5</v>
      </c>
      <c r="G58" s="3">
        <v>42</v>
      </c>
      <c r="I58" s="3">
        <v>137.5</v>
      </c>
      <c r="J58" s="3">
        <v>85</v>
      </c>
      <c r="K58" s="3">
        <v>111</v>
      </c>
      <c r="M58" s="3">
        <v>157</v>
      </c>
      <c r="N58" s="3">
        <v>40</v>
      </c>
      <c r="O58" s="3"/>
    </row>
    <row r="59" spans="1:21" ht="15.75" x14ac:dyDescent="0.5">
      <c r="A59" s="4" t="s">
        <v>57</v>
      </c>
      <c r="B59" s="3">
        <f>SUM(C59:U59)</f>
        <v>644.1</v>
      </c>
      <c r="C59" s="3">
        <f>SUM(120)</f>
        <v>120</v>
      </c>
      <c r="D59" s="3">
        <f>SUM(83+80+80)</f>
        <v>243</v>
      </c>
      <c r="E59" s="3">
        <f>SUM(53.6)</f>
        <v>53.6</v>
      </c>
      <c r="F59" s="3">
        <f>SUM(52)</f>
        <v>52</v>
      </c>
      <c r="G59" s="3">
        <v>93.5</v>
      </c>
      <c r="H59" s="3">
        <v>40</v>
      </c>
      <c r="I59" s="3">
        <v>42</v>
      </c>
      <c r="J59" s="5"/>
      <c r="K59" s="5"/>
      <c r="L59" s="5"/>
      <c r="M59" s="5"/>
      <c r="N59" s="3"/>
      <c r="O59" s="3"/>
      <c r="P59" s="5"/>
      <c r="Q59" s="5"/>
      <c r="R59" s="5"/>
      <c r="S59" s="5"/>
      <c r="T59" s="5"/>
      <c r="U59" s="5"/>
    </row>
    <row r="60" spans="1:21" ht="15.75" x14ac:dyDescent="0.5">
      <c r="A60" s="4" t="s">
        <v>47</v>
      </c>
      <c r="B60" s="3">
        <f>SUM(C60:U60)</f>
        <v>640</v>
      </c>
      <c r="C60" s="3">
        <v>0</v>
      </c>
      <c r="D60" s="3">
        <f>SUM(42.4)</f>
        <v>42.4</v>
      </c>
      <c r="E60" s="3">
        <f>SUM(30.6+30.6+48.4)</f>
        <v>109.6</v>
      </c>
      <c r="H60" s="3">
        <v>59</v>
      </c>
      <c r="K60" s="3">
        <v>59</v>
      </c>
      <c r="L60" s="3">
        <v>285</v>
      </c>
      <c r="M60" s="3">
        <v>85</v>
      </c>
      <c r="N60" s="3"/>
      <c r="O60" s="3"/>
    </row>
    <row r="61" spans="1:21" ht="15.75" x14ac:dyDescent="0.5">
      <c r="A61" s="4" t="s">
        <v>67</v>
      </c>
      <c r="B61" s="3">
        <f>SUM(C61:U61)</f>
        <v>630.45000000000005</v>
      </c>
      <c r="C61" s="3">
        <f>SUM(54+53.6+49+30)</f>
        <v>186.6</v>
      </c>
      <c r="D61" s="3">
        <v>0</v>
      </c>
      <c r="E61" s="3">
        <f>SUM(31)</f>
        <v>31</v>
      </c>
      <c r="H61" s="3">
        <v>160.85</v>
      </c>
      <c r="J61" s="3">
        <v>55</v>
      </c>
      <c r="K61" s="3">
        <v>197</v>
      </c>
      <c r="N61" s="3"/>
      <c r="O61" s="3"/>
    </row>
    <row r="62" spans="1:21" ht="15.75" x14ac:dyDescent="0.5">
      <c r="A62" s="11" t="s">
        <v>105</v>
      </c>
      <c r="B62" s="3">
        <f>SUM(C62:U62)</f>
        <v>580.1</v>
      </c>
      <c r="C62" s="3">
        <f>SUM(80+80+82.5+122)</f>
        <v>364.5</v>
      </c>
      <c r="D62" s="3">
        <f>SUM(33.6+52+50+80)</f>
        <v>215.6</v>
      </c>
    </row>
    <row r="63" spans="1:21" ht="15.75" x14ac:dyDescent="0.5">
      <c r="A63" s="4" t="s">
        <v>96</v>
      </c>
      <c r="B63" s="3">
        <f>SUM(C63:U63)</f>
        <v>576</v>
      </c>
      <c r="C63" s="3">
        <f>SUM(80+80+40+50+82)</f>
        <v>332</v>
      </c>
      <c r="D63" s="3">
        <f>SUM(85)</f>
        <v>85</v>
      </c>
      <c r="E63" s="3">
        <f>SUM(50)</f>
        <v>50</v>
      </c>
      <c r="F63" s="3">
        <f>SUM(30+45)</f>
        <v>75</v>
      </c>
      <c r="G63" s="5"/>
      <c r="H63" s="5"/>
      <c r="I63" s="5"/>
      <c r="J63" s="3">
        <v>34</v>
      </c>
      <c r="K63" s="5"/>
      <c r="L63" s="5"/>
      <c r="M63" s="3">
        <v>0</v>
      </c>
      <c r="N63" s="3"/>
      <c r="O63" s="3"/>
      <c r="P63" s="5"/>
      <c r="Q63" s="5"/>
      <c r="R63" s="5"/>
      <c r="S63" s="5"/>
      <c r="T63" s="5"/>
      <c r="U63" s="5"/>
    </row>
    <row r="64" spans="1:21" ht="15.75" x14ac:dyDescent="0.5">
      <c r="A64" s="3" t="s">
        <v>92</v>
      </c>
      <c r="B64" s="3">
        <f>SUM(C64:U64)</f>
        <v>563.29999999999995</v>
      </c>
      <c r="C64" s="3">
        <f>SUM(53.6+60+53.6+50+40+50)</f>
        <v>307.2</v>
      </c>
      <c r="D64" s="3">
        <f>SUM(30+33.6+52+40.5+44+56)</f>
        <v>256.10000000000002</v>
      </c>
    </row>
    <row r="65" spans="1:23" ht="15.75" x14ac:dyDescent="0.5">
      <c r="A65" s="4" t="s">
        <v>61</v>
      </c>
      <c r="B65" s="3">
        <f>SUM(C65:U65)</f>
        <v>551.6</v>
      </c>
      <c r="C65" s="3">
        <f>SUM(90)</f>
        <v>90</v>
      </c>
      <c r="D65" s="3">
        <f>SUM(83+67+80)</f>
        <v>230</v>
      </c>
      <c r="E65" s="3">
        <f>SUM(31.6+67+52+81)</f>
        <v>231.6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3" ht="15.75" x14ac:dyDescent="0.5">
      <c r="A66" s="4" t="s">
        <v>80</v>
      </c>
      <c r="B66" s="3">
        <f>SUM(C66:U66)</f>
        <v>547.6</v>
      </c>
      <c r="C66" s="3">
        <f>SUM(49+87.6+81)</f>
        <v>217.6</v>
      </c>
      <c r="D66" s="3">
        <f>SUM(30+53+56)</f>
        <v>139</v>
      </c>
      <c r="E66" s="3">
        <f>SUM(30+53+51+57)</f>
        <v>191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3" ht="15.75" x14ac:dyDescent="0.5">
      <c r="A67" s="4" t="s">
        <v>75</v>
      </c>
      <c r="B67" s="3">
        <f>SUM(C67:U67)</f>
        <v>542.1</v>
      </c>
      <c r="C67" s="3">
        <f>SUM(49+53.6+40+30)</f>
        <v>172.6</v>
      </c>
      <c r="D67" s="3">
        <f>SUM(30+50+53+52+40.5+56)</f>
        <v>281.5</v>
      </c>
      <c r="E67" s="3">
        <f>SUM(51)</f>
        <v>51</v>
      </c>
      <c r="F67" s="3">
        <f>SUM(37)</f>
        <v>37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3" s="3" customFormat="1" ht="15.75" x14ac:dyDescent="0.5">
      <c r="A68" s="4" t="s">
        <v>140</v>
      </c>
      <c r="B68" s="3">
        <f>SUM(C68:U68)</f>
        <v>527.5</v>
      </c>
      <c r="C68" s="3">
        <f>SUM(55+35+60+82.5+80+80)</f>
        <v>392.5</v>
      </c>
      <c r="D68" s="3">
        <f>SUM(50+54)</f>
        <v>104</v>
      </c>
      <c r="E68" s="3">
        <f>SUM(31)</f>
        <v>31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3" s="5" customFormat="1" ht="15.75" x14ac:dyDescent="0.5">
      <c r="A69" s="4" t="s">
        <v>56</v>
      </c>
      <c r="B69" s="3">
        <f>SUM(C69:U69)</f>
        <v>525.35</v>
      </c>
      <c r="C69" s="3">
        <v>0</v>
      </c>
      <c r="D69" s="3">
        <v>0</v>
      </c>
      <c r="E69" s="6"/>
      <c r="F69" s="6"/>
      <c r="G69" s="6"/>
      <c r="H69" s="3">
        <v>62.85</v>
      </c>
      <c r="I69" s="3">
        <v>378.5</v>
      </c>
      <c r="J69" s="3">
        <v>84</v>
      </c>
      <c r="K69" s="6"/>
      <c r="L69" s="6"/>
      <c r="M69" s="6"/>
      <c r="N69" s="3"/>
      <c r="O69" s="3"/>
      <c r="P69" s="6"/>
      <c r="Q69" s="6"/>
      <c r="R69" s="6"/>
      <c r="S69" s="6"/>
      <c r="T69" s="6"/>
      <c r="U69" s="6"/>
    </row>
    <row r="70" spans="1:23" s="3" customFormat="1" ht="15.75" x14ac:dyDescent="0.5">
      <c r="A70" s="4" t="s">
        <v>58</v>
      </c>
      <c r="B70" s="3">
        <f>SUM(C70:U70)</f>
        <v>522</v>
      </c>
      <c r="C70" s="3">
        <v>0</v>
      </c>
      <c r="D70" s="3">
        <v>0</v>
      </c>
      <c r="E70" s="6"/>
      <c r="F70" s="6"/>
      <c r="G70" s="6"/>
      <c r="H70" s="6"/>
      <c r="I70" s="6"/>
      <c r="J70" s="3">
        <v>301</v>
      </c>
      <c r="K70" s="3">
        <v>221</v>
      </c>
      <c r="L70" s="6"/>
      <c r="M70" s="6"/>
      <c r="P70" s="6"/>
      <c r="Q70" s="6"/>
      <c r="R70" s="6"/>
      <c r="S70" s="6"/>
      <c r="T70" s="6"/>
      <c r="U70" s="6"/>
    </row>
    <row r="71" spans="1:23" ht="15.75" x14ac:dyDescent="0.5">
      <c r="A71" s="4" t="s">
        <v>59</v>
      </c>
      <c r="B71" s="3">
        <f>SUM(C71:U71)</f>
        <v>519</v>
      </c>
      <c r="C71" s="3">
        <v>0</v>
      </c>
      <c r="D71" s="3">
        <v>0</v>
      </c>
      <c r="K71" s="3">
        <v>135</v>
      </c>
      <c r="L71" s="3">
        <v>191</v>
      </c>
      <c r="M71" s="3">
        <v>193</v>
      </c>
      <c r="N71" s="3"/>
      <c r="O71" s="3"/>
      <c r="V71" s="5"/>
      <c r="W71" s="5"/>
    </row>
    <row r="72" spans="1:23" ht="15.75" x14ac:dyDescent="0.5">
      <c r="A72" s="10" t="s">
        <v>292</v>
      </c>
      <c r="B72" s="3">
        <f>SUM(C72:U72)</f>
        <v>494</v>
      </c>
      <c r="C72" s="3">
        <f>SUM(80+122)</f>
        <v>202</v>
      </c>
      <c r="D72" s="6">
        <f>SUM(32+50+50+80+80)</f>
        <v>292</v>
      </c>
      <c r="V72" s="5"/>
      <c r="W72" s="5"/>
    </row>
    <row r="73" spans="1:23" ht="15.75" x14ac:dyDescent="0.5">
      <c r="A73" s="4" t="s">
        <v>60</v>
      </c>
      <c r="B73" s="3">
        <f>SUM(C73:U73)</f>
        <v>475</v>
      </c>
      <c r="C73" s="3">
        <v>0</v>
      </c>
      <c r="D73" s="3">
        <v>0</v>
      </c>
      <c r="M73" s="3">
        <v>237</v>
      </c>
      <c r="N73" s="3">
        <v>238</v>
      </c>
      <c r="O73" s="3"/>
      <c r="V73" s="5"/>
      <c r="W73" s="5"/>
    </row>
    <row r="74" spans="1:23" ht="15.75" x14ac:dyDescent="0.5">
      <c r="A74" s="4" t="s">
        <v>63</v>
      </c>
      <c r="B74" s="3">
        <f>SUM(C74:U74)</f>
        <v>457</v>
      </c>
      <c r="C74" s="3">
        <v>0</v>
      </c>
      <c r="D74" s="3">
        <v>0</v>
      </c>
      <c r="M74" s="3">
        <v>212</v>
      </c>
      <c r="N74" s="3">
        <v>245</v>
      </c>
      <c r="O74" s="3"/>
      <c r="V74" s="5"/>
      <c r="W74" s="5"/>
    </row>
    <row r="75" spans="1:23" ht="15.75" x14ac:dyDescent="0.5">
      <c r="A75" s="4" t="s">
        <v>66</v>
      </c>
      <c r="B75" s="3">
        <f>SUM(C75:U75)</f>
        <v>455</v>
      </c>
      <c r="C75" s="3">
        <v>0</v>
      </c>
      <c r="D75" s="3">
        <v>0</v>
      </c>
      <c r="K75" s="3">
        <v>80</v>
      </c>
      <c r="L75" s="3">
        <v>53</v>
      </c>
      <c r="M75" s="3">
        <v>30</v>
      </c>
      <c r="N75" s="3"/>
      <c r="O75" s="3">
        <v>211</v>
      </c>
      <c r="P75" s="3">
        <v>51</v>
      </c>
      <c r="Q75" s="3">
        <v>30</v>
      </c>
      <c r="V75" s="5"/>
      <c r="W75" s="5"/>
    </row>
    <row r="76" spans="1:23" ht="15.75" x14ac:dyDescent="0.5">
      <c r="A76" s="4" t="s">
        <v>68</v>
      </c>
      <c r="B76" s="3">
        <f>SUM(C76:U76)</f>
        <v>441</v>
      </c>
      <c r="C76" s="3">
        <v>0</v>
      </c>
      <c r="D76" s="3">
        <v>0</v>
      </c>
      <c r="J76" s="3">
        <v>120</v>
      </c>
      <c r="K76" s="3">
        <v>321</v>
      </c>
      <c r="N76" s="3"/>
      <c r="O76" s="3"/>
      <c r="V76" s="5"/>
      <c r="W76" s="5"/>
    </row>
    <row r="77" spans="1:23" ht="15.75" x14ac:dyDescent="0.5">
      <c r="A77" s="10" t="s">
        <v>95</v>
      </c>
      <c r="B77" s="3">
        <f>SUM(C77:U77)</f>
        <v>414</v>
      </c>
      <c r="C77" s="3">
        <f>SUM(55+80+30)</f>
        <v>165</v>
      </c>
      <c r="D77" s="6">
        <f>SUM(53)</f>
        <v>53</v>
      </c>
      <c r="E77" s="6">
        <f>SUM(57+51+54)</f>
        <v>162</v>
      </c>
      <c r="F77" s="6">
        <f>SUM(34)</f>
        <v>34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V77" s="5"/>
      <c r="W77" s="5"/>
    </row>
    <row r="78" spans="1:23" ht="15.75" x14ac:dyDescent="0.5">
      <c r="A78" s="4" t="s">
        <v>95</v>
      </c>
      <c r="B78" s="3">
        <f>SUM(C78:U78)</f>
        <v>413.6</v>
      </c>
      <c r="C78" s="3">
        <f>SUM(55+30+80)</f>
        <v>165</v>
      </c>
      <c r="D78" s="3">
        <f>SUM(53)</f>
        <v>53</v>
      </c>
      <c r="E78" s="3">
        <f>SUM(53.6+51+57)</f>
        <v>161.6</v>
      </c>
      <c r="F78" s="3">
        <f>SUM(34)</f>
        <v>34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.75" x14ac:dyDescent="0.5">
      <c r="A79" s="17" t="s">
        <v>283</v>
      </c>
      <c r="B79" s="3">
        <f>SUM(C79:U79)</f>
        <v>403.5</v>
      </c>
      <c r="C79" s="3">
        <f>SUM(32+54+60+40+80+52+85.5)</f>
        <v>403.5</v>
      </c>
      <c r="D79" s="3">
        <v>0</v>
      </c>
      <c r="V79" s="5"/>
      <c r="W79" s="5"/>
    </row>
    <row r="80" spans="1:23" ht="15.75" x14ac:dyDescent="0.5">
      <c r="A80" s="7" t="s">
        <v>70</v>
      </c>
      <c r="B80" s="3">
        <f>SUM(C80:U80)</f>
        <v>401.6</v>
      </c>
      <c r="C80" s="3">
        <v>0</v>
      </c>
      <c r="D80" s="3">
        <f>SUM(54+52)</f>
        <v>106</v>
      </c>
      <c r="E80" s="3">
        <f>SUM(53.6+50+51+57)</f>
        <v>211.6</v>
      </c>
      <c r="F80" s="3">
        <f>SUM(39+45)</f>
        <v>84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.75" x14ac:dyDescent="0.5">
      <c r="A81" s="4" t="s">
        <v>74</v>
      </c>
      <c r="B81" s="3">
        <f>SUM(C81:U81)</f>
        <v>400.5</v>
      </c>
      <c r="C81" s="3">
        <f>SUM(30)</f>
        <v>30</v>
      </c>
      <c r="D81" s="3">
        <v>0</v>
      </c>
      <c r="E81" s="3">
        <f>SUM(34+57)</f>
        <v>91</v>
      </c>
      <c r="F81" s="3">
        <f>SUM(80+34)</f>
        <v>114</v>
      </c>
      <c r="G81" s="3">
        <v>165.5</v>
      </c>
      <c r="N81" s="3"/>
      <c r="O81" s="3"/>
      <c r="V81" s="5"/>
      <c r="W81" s="5"/>
    </row>
    <row r="82" spans="1:23" ht="15.75" x14ac:dyDescent="0.5">
      <c r="A82" s="4" t="s">
        <v>71</v>
      </c>
      <c r="B82" s="3">
        <f>SUM(C82:U82)</f>
        <v>397</v>
      </c>
      <c r="C82" s="3">
        <v>0</v>
      </c>
      <c r="D82" s="3">
        <f>SUM(52)</f>
        <v>52</v>
      </c>
      <c r="E82" s="3">
        <f>SUM(34+52)</f>
        <v>86</v>
      </c>
      <c r="F82" s="3"/>
      <c r="G82" s="3"/>
      <c r="H82" s="3"/>
      <c r="I82" s="3"/>
      <c r="J82" s="3"/>
      <c r="K82" s="3"/>
      <c r="L82" s="3">
        <v>176</v>
      </c>
      <c r="M82" s="3">
        <v>83</v>
      </c>
      <c r="N82" s="3"/>
      <c r="O82" s="3"/>
      <c r="P82" s="3"/>
      <c r="Q82" s="3"/>
      <c r="R82" s="3"/>
      <c r="S82" s="3"/>
      <c r="T82" s="3"/>
      <c r="U82" s="3"/>
      <c r="V82" s="5"/>
      <c r="W82" s="5"/>
    </row>
    <row r="83" spans="1:23" ht="15.75" x14ac:dyDescent="0.5">
      <c r="A83" s="4" t="s">
        <v>72</v>
      </c>
      <c r="B83" s="3">
        <f>SUM(C83:U83)</f>
        <v>385.2</v>
      </c>
      <c r="C83" s="3">
        <v>0</v>
      </c>
      <c r="D83" s="3">
        <v>0</v>
      </c>
      <c r="F83" s="3">
        <f>SUM(39)</f>
        <v>39</v>
      </c>
      <c r="H83" s="3">
        <v>166.2</v>
      </c>
      <c r="I83" s="3">
        <v>180</v>
      </c>
      <c r="N83" s="3"/>
      <c r="O83" s="3"/>
      <c r="V83" s="5"/>
      <c r="W83" s="5"/>
    </row>
    <row r="84" spans="1:23" ht="15.75" x14ac:dyDescent="0.5">
      <c r="A84" s="4" t="s">
        <v>73</v>
      </c>
      <c r="B84" s="3">
        <f>SUM(C84:U84)</f>
        <v>374.85</v>
      </c>
      <c r="C84" s="3">
        <v>0</v>
      </c>
      <c r="D84" s="3">
        <v>0</v>
      </c>
      <c r="G84" s="3">
        <v>105</v>
      </c>
      <c r="H84" s="3">
        <v>160.85</v>
      </c>
      <c r="J84" s="3">
        <v>40</v>
      </c>
      <c r="K84" s="3">
        <v>69</v>
      </c>
      <c r="N84" s="3"/>
      <c r="O84" s="3"/>
      <c r="V84" s="5"/>
      <c r="W84" s="5"/>
    </row>
    <row r="85" spans="1:23" ht="15.75" x14ac:dyDescent="0.5">
      <c r="A85" s="4" t="s">
        <v>79</v>
      </c>
      <c r="B85" s="3">
        <f>SUM(C85:U85)</f>
        <v>363.5</v>
      </c>
      <c r="C85" s="3">
        <f>SUM(30.5)</f>
        <v>30.5</v>
      </c>
      <c r="D85" s="3">
        <v>0</v>
      </c>
      <c r="K85" s="3">
        <v>59</v>
      </c>
      <c r="L85" s="3">
        <v>121</v>
      </c>
      <c r="M85" s="3">
        <v>40</v>
      </c>
      <c r="N85" s="3">
        <v>113</v>
      </c>
      <c r="O85" s="3"/>
      <c r="V85" s="5"/>
      <c r="W85" s="5"/>
    </row>
    <row r="86" spans="1:23" ht="15.75" x14ac:dyDescent="0.5">
      <c r="A86" s="3" t="s">
        <v>76</v>
      </c>
      <c r="B86" s="3">
        <f>SUM(C86:U86)</f>
        <v>361</v>
      </c>
      <c r="C86" s="3">
        <v>0</v>
      </c>
      <c r="D86" s="3">
        <v>0</v>
      </c>
      <c r="F86" s="3">
        <f>SUM(53+39+62)</f>
        <v>154</v>
      </c>
      <c r="G86" s="3">
        <v>42</v>
      </c>
      <c r="M86" s="3">
        <v>165</v>
      </c>
      <c r="N86" s="3"/>
      <c r="O86" s="3"/>
      <c r="V86" s="5"/>
      <c r="W86" s="5"/>
    </row>
    <row r="87" spans="1:23" ht="15.75" x14ac:dyDescent="0.5">
      <c r="A87" s="4" t="s">
        <v>77</v>
      </c>
      <c r="B87" s="3">
        <f>SUM(C87:U87)</f>
        <v>361</v>
      </c>
      <c r="C87" s="3">
        <v>0</v>
      </c>
      <c r="D87" s="3">
        <v>0</v>
      </c>
      <c r="J87" s="3">
        <v>180</v>
      </c>
      <c r="K87" s="3">
        <v>181</v>
      </c>
      <c r="N87" s="3"/>
      <c r="O87" s="3"/>
      <c r="V87" s="5"/>
      <c r="W87" s="5"/>
    </row>
    <row r="88" spans="1:23" ht="15.75" x14ac:dyDescent="0.5">
      <c r="A88" s="4" t="s">
        <v>137</v>
      </c>
      <c r="B88" s="3">
        <f>SUM(C88:U88)</f>
        <v>356</v>
      </c>
      <c r="C88" s="3">
        <f>SUM(55+80+81)</f>
        <v>216</v>
      </c>
      <c r="D88" s="3">
        <f>SUM(53+56)</f>
        <v>109</v>
      </c>
      <c r="E88" s="3">
        <f>SUM(31)</f>
        <v>31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.75" x14ac:dyDescent="0.5">
      <c r="A89" s="15" t="s">
        <v>286</v>
      </c>
      <c r="B89" s="3">
        <f>SUM(C89:U89)</f>
        <v>347.1</v>
      </c>
      <c r="C89" s="3">
        <f>SUM(49+53.6+50+52.5)</f>
        <v>205.1</v>
      </c>
      <c r="D89" s="3">
        <f>SUM(34+52+56)</f>
        <v>142</v>
      </c>
      <c r="V89" s="5"/>
      <c r="W89" s="5"/>
    </row>
    <row r="90" spans="1:23" ht="15.75" x14ac:dyDescent="0.5">
      <c r="A90" s="11" t="s">
        <v>187</v>
      </c>
      <c r="B90" s="3">
        <f>SUM(C90:U90)</f>
        <v>346.1</v>
      </c>
      <c r="C90" s="3">
        <f>SUM(55+80+87.6+52)</f>
        <v>274.60000000000002</v>
      </c>
      <c r="D90" s="3">
        <f>SUM(31+40.5)</f>
        <v>71.5</v>
      </c>
      <c r="V90" s="5"/>
      <c r="W90" s="5"/>
    </row>
    <row r="91" spans="1:23" ht="15.75" x14ac:dyDescent="0.5">
      <c r="A91" s="3" t="s">
        <v>93</v>
      </c>
      <c r="B91" s="3">
        <f>SUM(C91:U91)</f>
        <v>342.5</v>
      </c>
      <c r="C91" s="3">
        <f>SUM(40+50)</f>
        <v>90</v>
      </c>
      <c r="D91" s="3">
        <f>SUM(30+34+55.5)</f>
        <v>119.5</v>
      </c>
      <c r="E91" s="3">
        <f>SUM(30+52+51)</f>
        <v>133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x14ac:dyDescent="0.5">
      <c r="A92" s="4" t="s">
        <v>78</v>
      </c>
      <c r="B92" s="3">
        <f>SUM(C92:U92)</f>
        <v>339</v>
      </c>
      <c r="C92" s="3">
        <v>0</v>
      </c>
      <c r="D92" s="3">
        <f>SUM(50+34)</f>
        <v>84</v>
      </c>
      <c r="E92" s="3">
        <f>SUM(31+36)</f>
        <v>67</v>
      </c>
      <c r="F92" s="3">
        <f>SUM(30+53+34+37+34)</f>
        <v>188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.75" x14ac:dyDescent="0.5">
      <c r="A93" s="3" t="s">
        <v>85</v>
      </c>
      <c r="B93" s="3">
        <f>SUM(C93:U93)</f>
        <v>338.6</v>
      </c>
      <c r="C93" s="3">
        <f>SUM(30)</f>
        <v>30</v>
      </c>
      <c r="D93" s="3">
        <f>SUM(32.8+32.8)</f>
        <v>65.599999999999994</v>
      </c>
      <c r="E93" s="5"/>
      <c r="F93" s="5"/>
      <c r="G93" s="5"/>
      <c r="H93" s="5"/>
      <c r="I93" s="5"/>
      <c r="J93" s="5"/>
      <c r="K93" s="5"/>
      <c r="L93" s="3">
        <v>33</v>
      </c>
      <c r="M93" s="3">
        <v>176</v>
      </c>
      <c r="N93" s="3">
        <v>34</v>
      </c>
      <c r="O93" s="3"/>
      <c r="P93" s="5"/>
      <c r="Q93" s="5"/>
      <c r="R93" s="5"/>
      <c r="S93" s="5"/>
      <c r="T93" s="5"/>
      <c r="U93" s="5"/>
      <c r="V93" s="5"/>
      <c r="W93" s="5"/>
    </row>
    <row r="94" spans="1:23" ht="15.75" x14ac:dyDescent="0.5">
      <c r="A94" s="4" t="s">
        <v>141</v>
      </c>
      <c r="B94" s="3">
        <f>SUM(C94:U94)</f>
        <v>323.10000000000002</v>
      </c>
      <c r="C94" s="3">
        <f>SUM(35+53.6+50+52.5)</f>
        <v>191.1</v>
      </c>
      <c r="D94" s="3">
        <f>SUM(34+32+34+32)</f>
        <v>132</v>
      </c>
      <c r="V94" s="5"/>
      <c r="W94" s="5"/>
    </row>
    <row r="95" spans="1:23" ht="15.75" x14ac:dyDescent="0.5">
      <c r="A95" s="4" t="s">
        <v>81</v>
      </c>
      <c r="B95" s="3">
        <f>SUM(C95:U95)</f>
        <v>321</v>
      </c>
      <c r="C95" s="3">
        <v>0</v>
      </c>
      <c r="D95" s="3">
        <v>0</v>
      </c>
      <c r="E95" s="5"/>
      <c r="F95" s="3">
        <f>SUM(34)</f>
        <v>34</v>
      </c>
      <c r="G95" s="3">
        <v>45</v>
      </c>
      <c r="H95" s="3">
        <v>42</v>
      </c>
      <c r="I95" s="3">
        <v>42</v>
      </c>
      <c r="J95" s="3">
        <v>121</v>
      </c>
      <c r="K95" s="3">
        <v>37</v>
      </c>
      <c r="L95" s="5"/>
      <c r="M95" s="5"/>
      <c r="N95" s="3"/>
      <c r="O95" s="3"/>
      <c r="P95" s="5"/>
      <c r="Q95" s="5"/>
      <c r="R95" s="5"/>
      <c r="S95" s="5"/>
      <c r="T95" s="5"/>
      <c r="U95" s="5"/>
      <c r="V95" s="5"/>
      <c r="W95" s="5"/>
    </row>
    <row r="96" spans="1:23" ht="15.75" x14ac:dyDescent="0.5">
      <c r="A96" s="4" t="s">
        <v>82</v>
      </c>
      <c r="B96" s="3">
        <f>SUM(C96:U96)</f>
        <v>318.5</v>
      </c>
      <c r="C96" s="3">
        <v>0</v>
      </c>
      <c r="D96" s="3">
        <f>SUM(50+84+40.5)</f>
        <v>174.5</v>
      </c>
      <c r="E96" s="3">
        <f>SUM(53+57)</f>
        <v>110</v>
      </c>
      <c r="F96" s="3">
        <f>SUM(34)</f>
        <v>34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.75" x14ac:dyDescent="0.5">
      <c r="A97" s="4" t="s">
        <v>83</v>
      </c>
      <c r="B97" s="3">
        <f>SUM(C97:U97)</f>
        <v>314.60000000000002</v>
      </c>
      <c r="C97" s="3">
        <v>0</v>
      </c>
      <c r="D97" s="3">
        <f>SUM(67)</f>
        <v>67</v>
      </c>
      <c r="E97" s="3">
        <f>SUM(53.6+67+51)</f>
        <v>171.6</v>
      </c>
      <c r="F97" s="3">
        <f>SUM(39+37)</f>
        <v>76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x14ac:dyDescent="0.5">
      <c r="A98" s="4" t="s">
        <v>84</v>
      </c>
      <c r="B98" s="3">
        <f>SUM(C98:U98)</f>
        <v>314.10000000000002</v>
      </c>
      <c r="C98" s="3">
        <v>0</v>
      </c>
      <c r="D98" s="3">
        <f>SUM(50)</f>
        <v>50</v>
      </c>
      <c r="E98" s="3">
        <f>SUM(31.6+52+57)</f>
        <v>140.6</v>
      </c>
      <c r="F98" s="3">
        <f>SUM(34)</f>
        <v>34</v>
      </c>
      <c r="G98" s="3">
        <v>42.5</v>
      </c>
      <c r="H98" s="5"/>
      <c r="I98" s="3">
        <v>47</v>
      </c>
      <c r="J98" s="5"/>
      <c r="K98" s="5"/>
      <c r="L98" s="5"/>
      <c r="M98" s="5"/>
      <c r="N98" s="3"/>
      <c r="O98" s="3"/>
      <c r="P98" s="5"/>
      <c r="Q98" s="5"/>
      <c r="R98" s="5"/>
      <c r="S98" s="5"/>
      <c r="T98" s="5"/>
      <c r="U98" s="5"/>
      <c r="V98" s="5"/>
      <c r="W98" s="5"/>
    </row>
    <row r="99" spans="1:23" ht="15.75" x14ac:dyDescent="0.5">
      <c r="A99" s="4" t="s">
        <v>164</v>
      </c>
      <c r="B99" s="3">
        <f>SUM(C99:U99)</f>
        <v>305.5</v>
      </c>
      <c r="C99" s="3">
        <f>SUM(49+81+85.5)</f>
        <v>215.5</v>
      </c>
      <c r="D99" s="3">
        <f>SUM(56)</f>
        <v>56</v>
      </c>
      <c r="E99" s="3">
        <f>SUM(34)</f>
        <v>34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x14ac:dyDescent="0.5">
      <c r="A100" s="4" t="s">
        <v>94</v>
      </c>
      <c r="B100" s="3">
        <f>SUM(C100:U100)</f>
        <v>301.5</v>
      </c>
      <c r="C100" s="3">
        <f>SUM(52.5)</f>
        <v>52.5</v>
      </c>
      <c r="D100" s="3">
        <f>SUM(53+50)</f>
        <v>103</v>
      </c>
      <c r="E100" s="3">
        <f>SUM(34+42+34+36)</f>
        <v>146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.75" x14ac:dyDescent="0.5">
      <c r="A101" s="4" t="s">
        <v>150</v>
      </c>
      <c r="B101" s="3">
        <f>SUM(C101:U101)</f>
        <v>299.60000000000002</v>
      </c>
      <c r="C101" s="3">
        <f>SUM(31.6+49+50+50)</f>
        <v>180.6</v>
      </c>
      <c r="D101" s="3">
        <f>SUM(46)</f>
        <v>46</v>
      </c>
      <c r="E101" s="3">
        <f>SUM(39+34)</f>
        <v>73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x14ac:dyDescent="0.5">
      <c r="A102" s="4" t="s">
        <v>86</v>
      </c>
      <c r="B102" s="3">
        <f>SUM(C102:U102)</f>
        <v>297.5</v>
      </c>
      <c r="C102" s="3">
        <v>0</v>
      </c>
      <c r="D102" s="3">
        <f>SUM(54)</f>
        <v>54</v>
      </c>
      <c r="E102" s="3">
        <f>SUM(31.6+34+45.9+51+81)</f>
        <v>243.5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75" x14ac:dyDescent="0.5">
      <c r="A103" s="11" t="s">
        <v>107</v>
      </c>
      <c r="B103" s="3">
        <f>SUM(C103:U103)</f>
        <v>296.10000000000002</v>
      </c>
      <c r="C103" s="3">
        <f>SUM(82.5)</f>
        <v>82.5</v>
      </c>
      <c r="D103" s="3">
        <f>SUM(33.6+50+50+80)</f>
        <v>213.6</v>
      </c>
      <c r="V103" s="5"/>
      <c r="W103" s="5"/>
    </row>
    <row r="104" spans="1:23" ht="15.75" x14ac:dyDescent="0.5">
      <c r="A104" s="16" t="s">
        <v>87</v>
      </c>
      <c r="B104" s="3">
        <f>SUM(C104:U104)</f>
        <v>293.60000000000002</v>
      </c>
      <c r="C104" s="3">
        <v>0</v>
      </c>
      <c r="D104" s="3">
        <f>SUM(33.6+50+50+80+80)</f>
        <v>293.60000000000002</v>
      </c>
      <c r="V104" s="5"/>
      <c r="W104" s="5"/>
    </row>
    <row r="105" spans="1:23" ht="15.75" x14ac:dyDescent="0.5">
      <c r="A105" s="4" t="s">
        <v>88</v>
      </c>
      <c r="B105" s="3">
        <f>SUM(C105:U105)</f>
        <v>289</v>
      </c>
      <c r="C105" s="3">
        <v>0</v>
      </c>
      <c r="D105" s="3">
        <v>0</v>
      </c>
      <c r="E105" s="5"/>
      <c r="F105" s="5"/>
      <c r="G105" s="5"/>
      <c r="H105" s="3">
        <v>89</v>
      </c>
      <c r="I105" s="5"/>
      <c r="J105" s="5"/>
      <c r="K105" s="3">
        <v>39</v>
      </c>
      <c r="L105" s="3">
        <v>131</v>
      </c>
      <c r="M105" s="3">
        <v>30</v>
      </c>
      <c r="N105" s="3"/>
      <c r="O105" s="3"/>
      <c r="P105" s="5"/>
      <c r="Q105" s="5"/>
      <c r="R105" s="5"/>
      <c r="S105" s="5"/>
      <c r="T105" s="5"/>
      <c r="U105" s="5"/>
      <c r="V105" s="5"/>
      <c r="W105" s="5"/>
    </row>
    <row r="106" spans="1:23" ht="15.75" x14ac:dyDescent="0.5">
      <c r="A106" s="16" t="s">
        <v>127</v>
      </c>
      <c r="B106" s="3">
        <f>SUM(C106:U106)</f>
        <v>288.10000000000002</v>
      </c>
      <c r="C106" s="3">
        <f>SUM(53.6+80)</f>
        <v>133.6</v>
      </c>
      <c r="D106" s="3">
        <f>SUM(34+40.5+80)</f>
        <v>154.5</v>
      </c>
      <c r="V106" s="5"/>
      <c r="W106" s="5"/>
    </row>
    <row r="107" spans="1:23" ht="15.75" x14ac:dyDescent="0.5">
      <c r="A107" s="11" t="s">
        <v>172</v>
      </c>
      <c r="B107" s="3">
        <f>SUM(C107:U107)</f>
        <v>272.60000000000002</v>
      </c>
      <c r="C107" s="3">
        <f>SUM(55+53.6+80)</f>
        <v>188.6</v>
      </c>
      <c r="D107" s="3">
        <f>SUM(32+52)</f>
        <v>84</v>
      </c>
      <c r="V107" s="5"/>
      <c r="W107" s="5"/>
    </row>
    <row r="108" spans="1:23" ht="15.75" x14ac:dyDescent="0.5">
      <c r="A108" s="4" t="s">
        <v>89</v>
      </c>
      <c r="B108" s="3">
        <f>SUM(C108:U108)</f>
        <v>270</v>
      </c>
      <c r="C108" s="3">
        <v>0</v>
      </c>
      <c r="D108" s="3">
        <v>0</v>
      </c>
      <c r="E108" s="5"/>
      <c r="F108" s="5"/>
      <c r="G108" s="5"/>
      <c r="H108" s="5"/>
      <c r="I108" s="5"/>
      <c r="J108" s="5"/>
      <c r="K108" s="5"/>
      <c r="L108" s="5"/>
      <c r="M108" s="3">
        <v>270</v>
      </c>
      <c r="N108" s="3"/>
      <c r="O108" s="3"/>
      <c r="P108" s="5"/>
      <c r="Q108" s="5"/>
      <c r="R108" s="5"/>
      <c r="S108" s="5"/>
      <c r="T108" s="5"/>
      <c r="U108" s="5"/>
      <c r="V108" s="5"/>
      <c r="W108" s="5"/>
    </row>
    <row r="109" spans="1:23" ht="15.75" x14ac:dyDescent="0.5">
      <c r="A109" s="16" t="s">
        <v>90</v>
      </c>
      <c r="B109" s="3">
        <f>SUM(C109:U109)</f>
        <v>266.39999999999998</v>
      </c>
      <c r="C109" s="3">
        <v>0</v>
      </c>
      <c r="D109" s="3">
        <f>SUM(33.6+42.4+32.8+42.4+32.8+82.4)</f>
        <v>266.39999999999998</v>
      </c>
      <c r="V109" s="5"/>
      <c r="W109" s="5"/>
    </row>
    <row r="110" spans="1:23" ht="15.75" x14ac:dyDescent="0.5">
      <c r="A110" s="4" t="s">
        <v>91</v>
      </c>
      <c r="B110" s="3">
        <f>SUM(C110:U110)</f>
        <v>259</v>
      </c>
      <c r="C110" s="3">
        <v>0</v>
      </c>
      <c r="D110" s="3">
        <v>0</v>
      </c>
      <c r="E110" s="5"/>
      <c r="F110" s="5"/>
      <c r="G110" s="5"/>
      <c r="H110" s="5"/>
      <c r="I110" s="3">
        <v>259</v>
      </c>
      <c r="J110" s="5"/>
      <c r="K110" s="5"/>
      <c r="L110" s="5"/>
      <c r="M110" s="5"/>
      <c r="N110" s="3"/>
      <c r="O110" s="3"/>
      <c r="P110" s="5"/>
      <c r="Q110" s="5"/>
      <c r="R110" s="5"/>
      <c r="S110" s="5"/>
      <c r="T110" s="5"/>
      <c r="U110" s="5"/>
      <c r="V110" s="5"/>
      <c r="W110" s="5"/>
    </row>
    <row r="111" spans="1:23" ht="15.75" x14ac:dyDescent="0.5">
      <c r="A111" s="4" t="s">
        <v>148</v>
      </c>
      <c r="B111" s="3">
        <f>SUM(C111:U111)</f>
        <v>256</v>
      </c>
      <c r="C111" s="3">
        <f>SUM(55+80)</f>
        <v>135</v>
      </c>
      <c r="D111" s="3">
        <f>SUM(56)</f>
        <v>56</v>
      </c>
      <c r="E111" s="3">
        <f>SUM(33)</f>
        <v>33</v>
      </c>
      <c r="F111" s="3">
        <v>32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.75" x14ac:dyDescent="0.5">
      <c r="A112" s="4" t="s">
        <v>97</v>
      </c>
      <c r="B112" s="3">
        <f>SUM(C112:U112)</f>
        <v>244</v>
      </c>
      <c r="C112" s="3">
        <v>0</v>
      </c>
      <c r="D112" s="3">
        <v>0</v>
      </c>
      <c r="E112" s="3"/>
      <c r="F112" s="3">
        <f>SUM(80)</f>
        <v>80</v>
      </c>
      <c r="G112" s="3">
        <v>68</v>
      </c>
      <c r="H112" s="3">
        <v>96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"/>
      <c r="W112" s="5"/>
    </row>
    <row r="113" spans="1:23" ht="15.75" x14ac:dyDescent="0.5">
      <c r="A113" s="4" t="s">
        <v>98</v>
      </c>
      <c r="B113" s="3">
        <f>SUM(C113:U113)</f>
        <v>239.6</v>
      </c>
      <c r="C113" s="3">
        <v>0</v>
      </c>
      <c r="D113" s="3">
        <f>SUM(53+32)</f>
        <v>85</v>
      </c>
      <c r="E113" s="3">
        <f>SUM(53.6+67)</f>
        <v>120.6</v>
      </c>
      <c r="F113" s="3">
        <f>SUM(34)</f>
        <v>34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x14ac:dyDescent="0.5">
      <c r="A114" s="4" t="s">
        <v>99</v>
      </c>
      <c r="B114" s="3">
        <f>SUM(C114:U114)</f>
        <v>236.5</v>
      </c>
      <c r="C114" s="3">
        <v>0</v>
      </c>
      <c r="D114" s="3">
        <v>0</v>
      </c>
      <c r="E114" s="5"/>
      <c r="F114" s="5"/>
      <c r="G114" s="5"/>
      <c r="H114" s="3">
        <v>46.5</v>
      </c>
      <c r="I114" s="5"/>
      <c r="J114" s="5"/>
      <c r="K114" s="3">
        <v>190</v>
      </c>
      <c r="L114" s="5"/>
      <c r="M114" s="5"/>
      <c r="N114" s="3"/>
      <c r="O114" s="3"/>
      <c r="P114" s="5"/>
      <c r="Q114" s="5"/>
      <c r="R114" s="5"/>
      <c r="S114" s="5"/>
      <c r="T114" s="5"/>
      <c r="U114" s="5"/>
      <c r="V114" s="5"/>
      <c r="W114" s="5"/>
    </row>
    <row r="115" spans="1:23" ht="15.75" x14ac:dyDescent="0.5">
      <c r="A115" s="10" t="s">
        <v>294</v>
      </c>
      <c r="B115" s="3">
        <f>SUM(C115:U115)</f>
        <v>234.5</v>
      </c>
      <c r="C115" s="3">
        <f>SUM(30+50+50+52+52.5)</f>
        <v>234.5</v>
      </c>
      <c r="V115" s="5"/>
      <c r="W115" s="5"/>
    </row>
    <row r="116" spans="1:23" ht="15.75" x14ac:dyDescent="0.5">
      <c r="A116" s="4" t="s">
        <v>100</v>
      </c>
      <c r="B116" s="3">
        <f>SUM(C116:U116)</f>
        <v>234</v>
      </c>
      <c r="C116" s="3">
        <v>0</v>
      </c>
      <c r="D116" s="3">
        <f>SUM(54)</f>
        <v>54</v>
      </c>
      <c r="E116" s="5"/>
      <c r="F116" s="3">
        <f>SUM(52)</f>
        <v>52</v>
      </c>
      <c r="G116" s="3">
        <v>42</v>
      </c>
      <c r="H116" s="5"/>
      <c r="I116" s="5"/>
      <c r="J116" s="5"/>
      <c r="K116" s="5"/>
      <c r="L116" s="5"/>
      <c r="M116" s="5"/>
      <c r="N116" s="3">
        <v>51</v>
      </c>
      <c r="O116" s="3">
        <v>35</v>
      </c>
      <c r="P116" s="5"/>
      <c r="Q116" s="5"/>
      <c r="R116" s="5"/>
      <c r="S116" s="5"/>
      <c r="T116" s="5"/>
      <c r="U116" s="5"/>
      <c r="V116" s="5"/>
      <c r="W116" s="5"/>
    </row>
    <row r="117" spans="1:23" ht="15.75" x14ac:dyDescent="0.5">
      <c r="A117" s="4" t="s">
        <v>138</v>
      </c>
      <c r="B117" s="3">
        <f>SUM(C117:U117)</f>
        <v>233</v>
      </c>
      <c r="C117" s="3">
        <f>SUM(54+40)</f>
        <v>94</v>
      </c>
      <c r="D117" s="3">
        <f>SUM(35+54+50)</f>
        <v>139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x14ac:dyDescent="0.5">
      <c r="A118" s="4" t="s">
        <v>101</v>
      </c>
      <c r="B118" s="3">
        <f>SUM(C118:U118)</f>
        <v>229</v>
      </c>
      <c r="C118" s="3">
        <v>0</v>
      </c>
      <c r="D118" s="3">
        <f>SUM(30)</f>
        <v>30</v>
      </c>
      <c r="E118" s="3">
        <f>SUM(30+50+51)</f>
        <v>131</v>
      </c>
      <c r="F118" s="3">
        <f>SUM(34+34)</f>
        <v>68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.75" x14ac:dyDescent="0.5">
      <c r="A119" s="4" t="s">
        <v>102</v>
      </c>
      <c r="B119" s="3">
        <f>SUM(C119:U119)</f>
        <v>227.5</v>
      </c>
      <c r="C119" s="3">
        <v>0</v>
      </c>
      <c r="D119" s="3">
        <v>0</v>
      </c>
      <c r="E119" s="5"/>
      <c r="F119" s="3">
        <f>SUM(53+80)</f>
        <v>133</v>
      </c>
      <c r="G119" s="3">
        <v>94.5</v>
      </c>
      <c r="H119" s="5"/>
      <c r="I119" s="5"/>
      <c r="J119" s="5"/>
      <c r="K119" s="5"/>
      <c r="L119" s="5"/>
      <c r="M119" s="5"/>
      <c r="N119" s="3"/>
      <c r="O119" s="3"/>
      <c r="P119" s="5"/>
      <c r="Q119" s="5"/>
      <c r="R119" s="5"/>
      <c r="S119" s="5"/>
      <c r="T119" s="5"/>
      <c r="U119" s="5"/>
      <c r="V119" s="5"/>
      <c r="W119" s="5"/>
    </row>
    <row r="120" spans="1:23" ht="15.75" x14ac:dyDescent="0.5">
      <c r="A120" s="3" t="s">
        <v>103</v>
      </c>
      <c r="B120" s="3">
        <f>SUM(C120:U120)</f>
        <v>226</v>
      </c>
      <c r="C120" s="3">
        <v>0</v>
      </c>
      <c r="D120" s="3">
        <f>SUM(67)</f>
        <v>67</v>
      </c>
      <c r="E120" s="3">
        <f>SUM(42+50+67)</f>
        <v>159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.75" x14ac:dyDescent="0.5">
      <c r="A121" s="4" t="s">
        <v>104</v>
      </c>
      <c r="B121" s="3">
        <f>SUM(C121:U121)</f>
        <v>222.6</v>
      </c>
      <c r="C121" s="3">
        <v>0</v>
      </c>
      <c r="D121" s="3">
        <v>0</v>
      </c>
      <c r="E121" s="3">
        <f>SUM(30.6+48.4+49.6)</f>
        <v>128.6</v>
      </c>
      <c r="F121" s="5"/>
      <c r="G121" s="5"/>
      <c r="H121" s="5"/>
      <c r="I121" s="5"/>
      <c r="J121" s="5"/>
      <c r="K121" s="3">
        <v>94</v>
      </c>
      <c r="L121" s="5"/>
      <c r="M121" s="5"/>
      <c r="N121" s="3"/>
      <c r="O121" s="3"/>
      <c r="P121" s="5"/>
      <c r="Q121" s="5"/>
      <c r="R121" s="5"/>
      <c r="S121" s="5"/>
      <c r="T121" s="5"/>
      <c r="U121" s="5"/>
      <c r="V121" s="5"/>
      <c r="W121" s="5"/>
    </row>
    <row r="122" spans="1:23" ht="15.75" x14ac:dyDescent="0.5">
      <c r="A122" s="4" t="s">
        <v>106</v>
      </c>
      <c r="B122" s="3">
        <f>SUM(C122:U122)</f>
        <v>214</v>
      </c>
      <c r="C122" s="3">
        <v>0</v>
      </c>
      <c r="D122" s="3">
        <v>0</v>
      </c>
      <c r="E122" s="5"/>
      <c r="F122" s="5"/>
      <c r="G122" s="5"/>
      <c r="H122" s="5"/>
      <c r="I122" s="5"/>
      <c r="J122" s="3">
        <v>80</v>
      </c>
      <c r="K122" s="3">
        <v>134</v>
      </c>
      <c r="L122" s="5"/>
      <c r="M122" s="5"/>
      <c r="N122" s="3"/>
      <c r="O122" s="3"/>
      <c r="P122" s="5"/>
      <c r="Q122" s="5"/>
      <c r="R122" s="5"/>
      <c r="S122" s="5"/>
      <c r="T122" s="5"/>
      <c r="U122" s="5"/>
      <c r="V122" s="5"/>
      <c r="W122" s="5"/>
    </row>
    <row r="123" spans="1:23" ht="15.75" x14ac:dyDescent="0.5">
      <c r="A123" s="4" t="s">
        <v>108</v>
      </c>
      <c r="B123" s="3">
        <f>SUM(C123:U123)</f>
        <v>211.6</v>
      </c>
      <c r="C123" s="3">
        <v>0</v>
      </c>
      <c r="D123" s="3">
        <f>SUM(50+80)</f>
        <v>130</v>
      </c>
      <c r="E123" s="3">
        <f>SUM(31.6+50)</f>
        <v>81.599999999999994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x14ac:dyDescent="0.5">
      <c r="A124" s="4" t="s">
        <v>109</v>
      </c>
      <c r="B124" s="3">
        <f>SUM(C124:U124)</f>
        <v>207.6</v>
      </c>
      <c r="C124" s="3">
        <v>0</v>
      </c>
      <c r="D124" s="3">
        <v>0</v>
      </c>
      <c r="E124" s="3">
        <f>SUM(31.6+52+67+57)</f>
        <v>207.6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5"/>
      <c r="W124" s="5"/>
    </row>
    <row r="125" spans="1:23" ht="15.75" x14ac:dyDescent="0.5">
      <c r="A125" s="4" t="s">
        <v>121</v>
      </c>
      <c r="B125" s="3">
        <f>SUM(C125:U125)</f>
        <v>205</v>
      </c>
      <c r="C125" s="3">
        <f>SUM(30)</f>
        <v>30</v>
      </c>
      <c r="D125" s="3">
        <f>SUM(53+32+56)</f>
        <v>141</v>
      </c>
      <c r="E125" s="3">
        <f>SUM(34)</f>
        <v>34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x14ac:dyDescent="0.5">
      <c r="A126" s="3" t="s">
        <v>110</v>
      </c>
      <c r="B126" s="3">
        <f>SUM(C126:U126)</f>
        <v>202</v>
      </c>
      <c r="C126" s="3">
        <v>0</v>
      </c>
      <c r="D126" s="3">
        <f>SUM(54)</f>
        <v>54</v>
      </c>
      <c r="E126" s="3">
        <f>SUM(38+51+59)</f>
        <v>148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.75" x14ac:dyDescent="0.5">
      <c r="A127" s="4" t="s">
        <v>111</v>
      </c>
      <c r="B127" s="3">
        <f>SUM(C127:U127)</f>
        <v>200.5</v>
      </c>
      <c r="C127" s="3">
        <v>0</v>
      </c>
      <c r="D127" s="3">
        <v>0</v>
      </c>
      <c r="E127" s="5"/>
      <c r="F127" s="5"/>
      <c r="G127" s="5"/>
      <c r="H127" s="5"/>
      <c r="I127" s="3">
        <v>167.5</v>
      </c>
      <c r="J127" s="3">
        <v>33</v>
      </c>
      <c r="K127" s="5"/>
      <c r="L127" s="5"/>
      <c r="M127" s="5"/>
      <c r="N127" s="3"/>
      <c r="O127" s="3"/>
      <c r="P127" s="5"/>
      <c r="Q127" s="5"/>
      <c r="R127" s="5"/>
      <c r="S127" s="5"/>
      <c r="T127" s="5"/>
      <c r="U127" s="5"/>
      <c r="V127" s="5"/>
      <c r="W127" s="5"/>
    </row>
    <row r="128" spans="1:23" ht="15.75" x14ac:dyDescent="0.5">
      <c r="A128" s="4" t="s">
        <v>200</v>
      </c>
      <c r="B128" s="3">
        <f>SUM(C128:U128)</f>
        <v>195.5</v>
      </c>
      <c r="C128" s="3">
        <f>SUM(30+50+52.5)</f>
        <v>132.5</v>
      </c>
      <c r="D128" s="3">
        <v>0</v>
      </c>
      <c r="E128" s="5"/>
      <c r="F128" s="3">
        <f>SUM(30)</f>
        <v>30</v>
      </c>
      <c r="G128" s="5"/>
      <c r="H128" s="5"/>
      <c r="I128" s="5"/>
      <c r="J128" s="3">
        <v>33</v>
      </c>
      <c r="K128" s="5"/>
      <c r="L128" s="5"/>
      <c r="M128" s="5"/>
      <c r="N128" s="3"/>
      <c r="O128" s="3"/>
      <c r="P128" s="5"/>
      <c r="Q128" s="5"/>
      <c r="R128" s="5"/>
      <c r="S128" s="5"/>
      <c r="T128" s="5"/>
      <c r="U128" s="5"/>
      <c r="V128" s="5"/>
      <c r="W128" s="5"/>
    </row>
    <row r="129" spans="1:23" ht="15.75" x14ac:dyDescent="0.5">
      <c r="A129" s="4" t="s">
        <v>112</v>
      </c>
      <c r="B129" s="3">
        <f>SUM(C129:U129)</f>
        <v>192.7</v>
      </c>
      <c r="C129" s="3">
        <v>0</v>
      </c>
      <c r="D129" s="3">
        <f>SUM(32.8+42.4)</f>
        <v>75.199999999999989</v>
      </c>
      <c r="E129" s="3">
        <f>SUM(48.4+30.6)</f>
        <v>79</v>
      </c>
      <c r="F129" s="3">
        <f>SUM(38.5)</f>
        <v>38.5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x14ac:dyDescent="0.5">
      <c r="A130" s="4" t="s">
        <v>128</v>
      </c>
      <c r="B130" s="3">
        <f>SUM(C130:U130)</f>
        <v>188</v>
      </c>
      <c r="C130" s="3">
        <f>SUM(35)</f>
        <v>35</v>
      </c>
      <c r="D130" s="3">
        <v>0</v>
      </c>
      <c r="E130" s="5"/>
      <c r="F130" s="5"/>
      <c r="G130" s="3">
        <v>42</v>
      </c>
      <c r="H130" s="3">
        <v>56</v>
      </c>
      <c r="I130" s="5"/>
      <c r="J130" s="5"/>
      <c r="K130" s="5"/>
      <c r="L130" s="5"/>
      <c r="M130" s="3">
        <v>55</v>
      </c>
      <c r="N130" s="3"/>
      <c r="O130" s="3"/>
      <c r="P130" s="5"/>
      <c r="Q130" s="5"/>
      <c r="R130" s="5"/>
      <c r="S130" s="5"/>
      <c r="T130" s="5"/>
      <c r="U130" s="5"/>
      <c r="V130" s="5"/>
      <c r="W130" s="5"/>
    </row>
    <row r="131" spans="1:23" ht="15.75" x14ac:dyDescent="0.5">
      <c r="A131" s="4" t="s">
        <v>113</v>
      </c>
      <c r="B131" s="3">
        <f>SUM(C131:U131)</f>
        <v>187</v>
      </c>
      <c r="C131" s="3">
        <v>0</v>
      </c>
      <c r="D131" s="3">
        <v>0</v>
      </c>
      <c r="E131" s="5"/>
      <c r="F131" s="5"/>
      <c r="G131" s="5"/>
      <c r="H131" s="5"/>
      <c r="I131" s="5"/>
      <c r="J131" s="3">
        <v>187</v>
      </c>
      <c r="K131" s="5"/>
      <c r="L131" s="5"/>
      <c r="M131" s="5"/>
      <c r="N131" s="3"/>
      <c r="O131" s="3"/>
      <c r="P131" s="5"/>
      <c r="Q131" s="5"/>
      <c r="R131" s="5"/>
      <c r="S131" s="5"/>
      <c r="T131" s="5"/>
      <c r="U131" s="5"/>
      <c r="V131" s="5"/>
      <c r="W131" s="5"/>
    </row>
    <row r="132" spans="1:23" ht="15.75" x14ac:dyDescent="0.5">
      <c r="A132" s="4" t="s">
        <v>114</v>
      </c>
      <c r="B132" s="3">
        <f>SUM(C132:U132)</f>
        <v>186</v>
      </c>
      <c r="C132" s="3">
        <v>0</v>
      </c>
      <c r="D132" s="3">
        <v>0</v>
      </c>
      <c r="E132" s="5"/>
      <c r="F132" s="5"/>
      <c r="G132" s="5"/>
      <c r="H132" s="5"/>
      <c r="I132" s="5"/>
      <c r="J132" s="5"/>
      <c r="K132" s="5"/>
      <c r="L132" s="5"/>
      <c r="M132" s="3">
        <v>186</v>
      </c>
      <c r="N132" s="3"/>
      <c r="O132" s="3"/>
      <c r="P132" s="5"/>
      <c r="Q132" s="5"/>
      <c r="R132" s="5"/>
      <c r="S132" s="5"/>
      <c r="T132" s="5"/>
      <c r="U132" s="5"/>
      <c r="V132" s="5"/>
      <c r="W132" s="5"/>
    </row>
    <row r="133" spans="1:23" ht="15.75" x14ac:dyDescent="0.5">
      <c r="A133" s="4" t="s">
        <v>115</v>
      </c>
      <c r="B133" s="3">
        <f>SUM(C133:U133)</f>
        <v>185</v>
      </c>
      <c r="C133" s="3">
        <v>0</v>
      </c>
      <c r="D133" s="3">
        <v>0</v>
      </c>
      <c r="E133" s="5"/>
      <c r="F133" s="5"/>
      <c r="G133" s="5"/>
      <c r="H133" s="5"/>
      <c r="I133" s="5"/>
      <c r="J133" s="5"/>
      <c r="K133" s="5"/>
      <c r="L133" s="3">
        <v>38</v>
      </c>
      <c r="M133" s="3">
        <v>74</v>
      </c>
      <c r="N133" s="3">
        <v>73</v>
      </c>
      <c r="O133" s="3"/>
      <c r="P133" s="5"/>
      <c r="Q133" s="5"/>
      <c r="R133" s="5"/>
      <c r="S133" s="5"/>
      <c r="T133" s="5"/>
      <c r="U133" s="5"/>
      <c r="V133" s="5"/>
      <c r="W133" s="5"/>
    </row>
    <row r="134" spans="1:23" ht="15.75" x14ac:dyDescent="0.5">
      <c r="A134" s="4" t="s">
        <v>116</v>
      </c>
      <c r="B134" s="3">
        <f>SUM(C134:U134)</f>
        <v>182</v>
      </c>
      <c r="C134" s="3">
        <v>0</v>
      </c>
      <c r="D134" s="3">
        <v>0</v>
      </c>
      <c r="E134" s="5"/>
      <c r="F134" s="5"/>
      <c r="G134" s="5"/>
      <c r="H134" s="5"/>
      <c r="I134" s="5"/>
      <c r="J134" s="5"/>
      <c r="K134" s="5"/>
      <c r="L134" s="3">
        <v>143</v>
      </c>
      <c r="M134" s="3">
        <v>39</v>
      </c>
      <c r="N134" s="3"/>
      <c r="O134" s="3"/>
      <c r="P134" s="5"/>
      <c r="Q134" s="5"/>
      <c r="R134" s="5"/>
      <c r="S134" s="5"/>
      <c r="T134" s="5"/>
      <c r="U134" s="5"/>
      <c r="V134" s="5"/>
      <c r="W134" s="5"/>
    </row>
    <row r="135" spans="1:23" ht="15.75" x14ac:dyDescent="0.5">
      <c r="A135" s="4" t="s">
        <v>117</v>
      </c>
      <c r="B135" s="3">
        <f>SUM(C135:U135)</f>
        <v>181.6</v>
      </c>
      <c r="C135" s="3">
        <v>0</v>
      </c>
      <c r="D135" s="3">
        <f>SUM(54+34)</f>
        <v>88</v>
      </c>
      <c r="E135" s="3">
        <f>SUM(30+31.6)</f>
        <v>61.6</v>
      </c>
      <c r="F135" s="3">
        <f>SUM(32)</f>
        <v>32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x14ac:dyDescent="0.5">
      <c r="A136" s="3" t="s">
        <v>118</v>
      </c>
      <c r="B136" s="3">
        <f>SUM(C136:U136)</f>
        <v>180</v>
      </c>
      <c r="C136" s="3">
        <v>0</v>
      </c>
      <c r="D136" s="3">
        <v>0</v>
      </c>
      <c r="E136" s="5"/>
      <c r="F136" s="5"/>
      <c r="G136" s="5"/>
      <c r="H136" s="5"/>
      <c r="I136" s="5"/>
      <c r="J136" s="5"/>
      <c r="K136" s="3">
        <v>59</v>
      </c>
      <c r="L136" s="3">
        <v>91</v>
      </c>
      <c r="M136" s="3">
        <v>30</v>
      </c>
      <c r="N136" s="3"/>
      <c r="O136" s="3"/>
      <c r="P136" s="5"/>
      <c r="Q136" s="5"/>
      <c r="R136" s="5"/>
      <c r="S136" s="5"/>
      <c r="T136" s="5"/>
      <c r="U136" s="5"/>
      <c r="V136" s="5"/>
      <c r="W136" s="5"/>
    </row>
    <row r="137" spans="1:23" ht="15.75" x14ac:dyDescent="0.5">
      <c r="A137" s="3" t="s">
        <v>119</v>
      </c>
      <c r="B137" s="3">
        <f>SUM(C137:U137)</f>
        <v>179.5</v>
      </c>
      <c r="C137" s="3">
        <v>0</v>
      </c>
      <c r="D137" s="3">
        <v>0</v>
      </c>
      <c r="E137" s="5"/>
      <c r="F137" s="3">
        <f>SUM(34+51+51)</f>
        <v>136</v>
      </c>
      <c r="G137" s="3">
        <v>43.5</v>
      </c>
      <c r="H137" s="5"/>
      <c r="I137" s="5"/>
      <c r="J137" s="5"/>
      <c r="K137" s="5"/>
      <c r="L137" s="5"/>
      <c r="M137" s="5"/>
      <c r="N137" s="3"/>
      <c r="O137" s="3"/>
      <c r="P137" s="5"/>
      <c r="Q137" s="5"/>
      <c r="R137" s="5"/>
      <c r="S137" s="5"/>
      <c r="T137" s="5"/>
      <c r="U137" s="5"/>
      <c r="V137" s="5"/>
      <c r="W137" s="5"/>
    </row>
    <row r="138" spans="1:23" ht="15.75" x14ac:dyDescent="0.5">
      <c r="A138" s="3" t="s">
        <v>130</v>
      </c>
      <c r="B138" s="3">
        <f>SUM(C138:U138)</f>
        <v>178.5</v>
      </c>
      <c r="C138" s="3">
        <f>SUM(30.5)</f>
        <v>30.5</v>
      </c>
      <c r="D138" s="3">
        <v>0</v>
      </c>
      <c r="E138" s="3">
        <f>SUM(36)</f>
        <v>36</v>
      </c>
      <c r="F138" s="5"/>
      <c r="G138" s="5"/>
      <c r="H138" s="5"/>
      <c r="I138" s="3">
        <v>112</v>
      </c>
      <c r="J138" s="5"/>
      <c r="K138" s="5"/>
      <c r="L138" s="5"/>
      <c r="M138" s="5"/>
      <c r="N138" s="3"/>
      <c r="O138" s="3"/>
      <c r="P138" s="5"/>
      <c r="Q138" s="5"/>
      <c r="R138" s="5"/>
      <c r="S138" s="5"/>
      <c r="T138" s="5"/>
      <c r="U138" s="5"/>
      <c r="V138" s="5"/>
      <c r="W138" s="5"/>
    </row>
    <row r="139" spans="1:23" ht="15.75" x14ac:dyDescent="0.5">
      <c r="A139" s="8" t="s">
        <v>159</v>
      </c>
      <c r="B139" s="3">
        <f>SUM(C139:U139)</f>
        <v>177</v>
      </c>
      <c r="C139" s="3">
        <f>SUM(30+50)</f>
        <v>80</v>
      </c>
      <c r="D139" s="3">
        <v>0</v>
      </c>
      <c r="E139" s="3">
        <f>SUM(38+59)</f>
        <v>97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x14ac:dyDescent="0.5">
      <c r="A140" s="4" t="s">
        <v>120</v>
      </c>
      <c r="B140" s="3">
        <f>SUM(C140:U140)</f>
        <v>176</v>
      </c>
      <c r="C140" s="3">
        <v>0</v>
      </c>
      <c r="D140" s="3">
        <v>0</v>
      </c>
      <c r="E140" s="5"/>
      <c r="F140" s="5"/>
      <c r="G140" s="5"/>
      <c r="H140" s="5"/>
      <c r="I140" s="5"/>
      <c r="J140" s="5"/>
      <c r="K140" s="5"/>
      <c r="L140" s="3">
        <v>34</v>
      </c>
      <c r="M140" s="3">
        <v>142</v>
      </c>
      <c r="N140" s="3"/>
      <c r="O140" s="3"/>
      <c r="P140" s="5"/>
      <c r="Q140" s="5"/>
      <c r="R140" s="5"/>
      <c r="S140" s="5"/>
      <c r="T140" s="5"/>
      <c r="U140" s="5"/>
      <c r="V140" s="5"/>
      <c r="W140" s="5"/>
    </row>
    <row r="141" spans="1:23" ht="15.75" x14ac:dyDescent="0.5">
      <c r="A141" s="3" t="s">
        <v>122</v>
      </c>
      <c r="B141" s="3">
        <f>SUM(C141:U141)</f>
        <v>175</v>
      </c>
      <c r="C141" s="3">
        <v>0</v>
      </c>
      <c r="D141" s="3">
        <v>0</v>
      </c>
      <c r="E141" s="5"/>
      <c r="F141" s="3">
        <f>SUM(39)</f>
        <v>39</v>
      </c>
      <c r="G141" s="3">
        <v>136</v>
      </c>
      <c r="H141" s="5"/>
      <c r="I141" s="5"/>
      <c r="J141" s="5"/>
      <c r="K141" s="5"/>
      <c r="L141" s="5"/>
      <c r="M141" s="5"/>
      <c r="N141" s="3"/>
      <c r="O141" s="3"/>
      <c r="P141" s="5"/>
      <c r="Q141" s="5"/>
      <c r="R141" s="5"/>
      <c r="S141" s="5"/>
      <c r="T141" s="5"/>
      <c r="U141" s="5"/>
      <c r="V141" s="5"/>
      <c r="W141" s="5"/>
    </row>
    <row r="142" spans="1:23" ht="15.75" x14ac:dyDescent="0.5">
      <c r="A142" s="3" t="s">
        <v>123</v>
      </c>
      <c r="B142" s="3">
        <f>SUM(C142:U142)</f>
        <v>174.5</v>
      </c>
      <c r="C142" s="3">
        <v>0</v>
      </c>
      <c r="D142" s="3">
        <v>0</v>
      </c>
      <c r="E142" s="3">
        <f>SUM(39+38+59)</f>
        <v>136</v>
      </c>
      <c r="F142" s="3">
        <f>SUM(38.5)</f>
        <v>38.5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.75" x14ac:dyDescent="0.5">
      <c r="A143" s="3" t="s">
        <v>124</v>
      </c>
      <c r="B143" s="3">
        <f>SUM(C143:U143)</f>
        <v>174</v>
      </c>
      <c r="C143" s="3">
        <v>0</v>
      </c>
      <c r="D143" s="3">
        <v>0</v>
      </c>
      <c r="E143" s="5"/>
      <c r="F143" s="5"/>
      <c r="G143" s="5"/>
      <c r="H143" s="5"/>
      <c r="I143" s="5"/>
      <c r="J143" s="5"/>
      <c r="K143" s="5"/>
      <c r="L143" s="3">
        <v>174</v>
      </c>
      <c r="M143" s="5"/>
      <c r="N143" s="3"/>
      <c r="O143" s="3"/>
      <c r="P143" s="5"/>
      <c r="Q143" s="5"/>
      <c r="R143" s="5"/>
      <c r="S143" s="5"/>
      <c r="T143" s="5"/>
      <c r="U143" s="5"/>
      <c r="V143" s="5"/>
      <c r="W143" s="5"/>
    </row>
    <row r="144" spans="1:23" ht="15.75" x14ac:dyDescent="0.5">
      <c r="A144" s="15" t="s">
        <v>288</v>
      </c>
      <c r="B144" s="3">
        <f>SUM(C144:U144)</f>
        <v>169.5</v>
      </c>
      <c r="C144" s="3">
        <f>SUM(34+50+85.5)</f>
        <v>169.5</v>
      </c>
      <c r="D144" s="3">
        <v>0</v>
      </c>
      <c r="V144" s="5"/>
      <c r="W144" s="5"/>
    </row>
    <row r="145" spans="1:23" ht="15.75" x14ac:dyDescent="0.5">
      <c r="A145" s="15" t="s">
        <v>285</v>
      </c>
      <c r="B145" s="3">
        <f>SUM(C145:U145)</f>
        <v>166.6</v>
      </c>
      <c r="C145" s="3">
        <f>SUM(31.6+35+60+40)</f>
        <v>166.6</v>
      </c>
      <c r="D145" s="3">
        <v>0</v>
      </c>
      <c r="V145" s="5"/>
      <c r="W145" s="5"/>
    </row>
    <row r="146" spans="1:23" ht="15.75" x14ac:dyDescent="0.5">
      <c r="A146" s="3" t="s">
        <v>125</v>
      </c>
      <c r="B146" s="3">
        <f>SUM(C146:U146)</f>
        <v>160.85</v>
      </c>
      <c r="C146" s="3">
        <v>0</v>
      </c>
      <c r="D146" s="3">
        <v>0</v>
      </c>
      <c r="E146" s="5"/>
      <c r="F146" s="5"/>
      <c r="G146" s="5"/>
      <c r="H146" s="3">
        <v>118.85</v>
      </c>
      <c r="I146" s="3">
        <v>42</v>
      </c>
      <c r="J146" s="5"/>
      <c r="K146" s="5"/>
      <c r="L146" s="5"/>
      <c r="M146" s="5"/>
      <c r="N146" s="3"/>
      <c r="O146" s="3"/>
      <c r="P146" s="5"/>
      <c r="Q146" s="5"/>
      <c r="R146" s="5"/>
      <c r="S146" s="5"/>
      <c r="T146" s="5"/>
      <c r="U146" s="5"/>
      <c r="V146" s="5"/>
      <c r="W146" s="5"/>
    </row>
    <row r="147" spans="1:23" ht="15.75" x14ac:dyDescent="0.5">
      <c r="A147" s="4" t="s">
        <v>126</v>
      </c>
      <c r="B147" s="3">
        <f>SUM(C147:U147)</f>
        <v>159.4</v>
      </c>
      <c r="C147" s="3">
        <v>0</v>
      </c>
      <c r="D147" s="3">
        <v>0</v>
      </c>
      <c r="E147" s="5"/>
      <c r="F147" s="3">
        <f>SUM(34+34+45)</f>
        <v>113</v>
      </c>
      <c r="G147" s="5"/>
      <c r="H147" s="3">
        <v>46.4</v>
      </c>
      <c r="I147" s="5"/>
      <c r="J147" s="5"/>
      <c r="K147" s="5"/>
      <c r="L147" s="5"/>
      <c r="M147" s="5"/>
      <c r="N147" s="3"/>
      <c r="O147" s="3"/>
      <c r="P147" s="5"/>
      <c r="Q147" s="5"/>
      <c r="R147" s="5"/>
      <c r="S147" s="5"/>
      <c r="T147" s="5"/>
      <c r="U147" s="5"/>
      <c r="V147" s="5"/>
      <c r="W147" s="5"/>
    </row>
    <row r="148" spans="1:23" ht="15.75" x14ac:dyDescent="0.5">
      <c r="A148" s="4" t="s">
        <v>129</v>
      </c>
      <c r="B148" s="3">
        <f>SUM(C148:U148)</f>
        <v>152</v>
      </c>
      <c r="C148" s="3">
        <v>0</v>
      </c>
      <c r="D148" s="3">
        <v>0</v>
      </c>
      <c r="E148" s="5"/>
      <c r="F148" s="3">
        <f>SUM(39+62+51)</f>
        <v>152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.75" x14ac:dyDescent="0.5">
      <c r="A149" s="11" t="s">
        <v>156</v>
      </c>
      <c r="B149" s="3">
        <f>SUM(C149:U149)</f>
        <v>151.5</v>
      </c>
      <c r="C149" s="3">
        <f>SUM(52.5)</f>
        <v>52.5</v>
      </c>
      <c r="D149" s="3">
        <f>SUM(32+67)</f>
        <v>99</v>
      </c>
      <c r="V149" s="5"/>
      <c r="W149" s="5"/>
    </row>
    <row r="150" spans="1:23" ht="15.75" x14ac:dyDescent="0.5">
      <c r="A150" s="4" t="s">
        <v>196</v>
      </c>
      <c r="B150" s="3">
        <f>SUM(C150:U150)</f>
        <v>148.5</v>
      </c>
      <c r="C150" s="3">
        <f>SUM(30+52.5)</f>
        <v>82.5</v>
      </c>
      <c r="D150" s="3">
        <f>SUM(32)</f>
        <v>32</v>
      </c>
      <c r="E150" s="5"/>
      <c r="F150" s="3">
        <f>SUM(34)</f>
        <v>34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.75" x14ac:dyDescent="0.5">
      <c r="A151" s="4" t="s">
        <v>131</v>
      </c>
      <c r="B151" s="3">
        <f>SUM(C151:U151)</f>
        <v>147.6</v>
      </c>
      <c r="C151" s="3">
        <v>0</v>
      </c>
      <c r="D151" s="3">
        <f>SUM(54)</f>
        <v>54</v>
      </c>
      <c r="E151" s="3">
        <f>SUM(30+31.6)</f>
        <v>61.6</v>
      </c>
      <c r="F151" s="3">
        <f>SUM(32)</f>
        <v>32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x14ac:dyDescent="0.5">
      <c r="A152" s="4" t="s">
        <v>132</v>
      </c>
      <c r="B152" s="3">
        <f>SUM(C152:U152)</f>
        <v>146</v>
      </c>
      <c r="C152" s="3">
        <v>0</v>
      </c>
      <c r="D152" s="3">
        <v>0</v>
      </c>
      <c r="E152" s="5"/>
      <c r="F152" s="3">
        <f>SUM(39+45+62)</f>
        <v>146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.75" x14ac:dyDescent="0.5">
      <c r="A153" s="4" t="s">
        <v>133</v>
      </c>
      <c r="B153" s="3">
        <f>SUM(C153:U153)</f>
        <v>146</v>
      </c>
      <c r="C153" s="3">
        <v>0</v>
      </c>
      <c r="D153" s="3">
        <v>0</v>
      </c>
      <c r="E153" s="5"/>
      <c r="F153" s="5"/>
      <c r="G153" s="5"/>
      <c r="H153" s="5"/>
      <c r="I153" s="5"/>
      <c r="J153" s="5"/>
      <c r="K153" s="5"/>
      <c r="L153" s="3">
        <v>146</v>
      </c>
      <c r="M153" s="5"/>
      <c r="N153" s="3"/>
      <c r="O153" s="3"/>
      <c r="P153" s="5"/>
      <c r="Q153" s="5"/>
      <c r="R153" s="5"/>
      <c r="S153" s="5"/>
      <c r="T153" s="5"/>
      <c r="U153" s="5"/>
      <c r="V153" s="5"/>
      <c r="W153" s="5"/>
    </row>
    <row r="154" spans="1:23" ht="15.75" x14ac:dyDescent="0.5">
      <c r="A154" s="4" t="s">
        <v>134</v>
      </c>
      <c r="B154" s="3">
        <f>SUM(C154:U154)</f>
        <v>145.4</v>
      </c>
      <c r="C154" s="3">
        <v>0</v>
      </c>
      <c r="D154" s="3">
        <v>0</v>
      </c>
      <c r="E154" s="3">
        <f>SUM(30.6+30.6+34.6+49.6)</f>
        <v>145.4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.75" x14ac:dyDescent="0.5">
      <c r="A155" s="3" t="s">
        <v>135</v>
      </c>
      <c r="B155" s="3">
        <f>SUM(C155:U155)</f>
        <v>142.6</v>
      </c>
      <c r="C155" s="3">
        <v>0</v>
      </c>
      <c r="D155" s="3">
        <v>0</v>
      </c>
      <c r="E155" s="3">
        <f>SUM(34+49.6+59)</f>
        <v>142.6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.75" x14ac:dyDescent="0.5">
      <c r="A156" s="7" t="s">
        <v>136</v>
      </c>
      <c r="B156" s="3">
        <f>SUM(C156:U156)</f>
        <v>142</v>
      </c>
      <c r="C156" s="3">
        <v>0</v>
      </c>
      <c r="D156" s="3">
        <f>SUM(34+52+56)</f>
        <v>142</v>
      </c>
      <c r="V156" s="5"/>
      <c r="W156" s="5"/>
    </row>
    <row r="157" spans="1:23" ht="15.75" x14ac:dyDescent="0.5">
      <c r="A157" s="10" t="s">
        <v>284</v>
      </c>
      <c r="B157" s="3">
        <f>SUM(C157:U157)</f>
        <v>138.6</v>
      </c>
      <c r="C157" s="3">
        <f>SUM(36+53.6+49)</f>
        <v>138.6</v>
      </c>
      <c r="D157" s="3">
        <v>0</v>
      </c>
      <c r="V157" s="5"/>
      <c r="W157" s="5"/>
    </row>
    <row r="158" spans="1:23" ht="15.75" x14ac:dyDescent="0.5">
      <c r="A158" s="3" t="s">
        <v>152</v>
      </c>
      <c r="B158" s="3">
        <f>SUM(C158:U158)</f>
        <v>137</v>
      </c>
      <c r="C158" s="3">
        <f>SUM(30)</f>
        <v>30</v>
      </c>
      <c r="D158" s="3">
        <f>SUM(32)</f>
        <v>32</v>
      </c>
      <c r="E158" s="5"/>
      <c r="F158" s="3">
        <f>SUM(34)</f>
        <v>34</v>
      </c>
      <c r="G158" s="3">
        <v>41</v>
      </c>
      <c r="H158" s="5"/>
      <c r="I158" s="5"/>
      <c r="J158" s="5"/>
      <c r="K158" s="5"/>
      <c r="L158" s="5"/>
      <c r="M158" s="5"/>
      <c r="N158" s="3"/>
      <c r="O158" s="3"/>
      <c r="P158" s="5"/>
      <c r="Q158" s="5"/>
      <c r="R158" s="5"/>
      <c r="S158" s="5"/>
      <c r="T158" s="5"/>
      <c r="U158" s="5"/>
      <c r="V158" s="5"/>
      <c r="W158" s="5"/>
    </row>
    <row r="159" spans="1:23" ht="15.75" x14ac:dyDescent="0.5">
      <c r="A159" s="4" t="s">
        <v>139</v>
      </c>
      <c r="B159" s="3">
        <f>SUM(C159:U159)</f>
        <v>136</v>
      </c>
      <c r="C159" s="3">
        <v>0</v>
      </c>
      <c r="D159" s="3">
        <v>0</v>
      </c>
      <c r="E159" s="3">
        <f>SUM(34+52+50)</f>
        <v>136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x14ac:dyDescent="0.5">
      <c r="A160" s="7" t="s">
        <v>154</v>
      </c>
      <c r="B160" s="3">
        <f>SUM(C160:U160)</f>
        <v>135</v>
      </c>
      <c r="C160" s="3">
        <f>SUM(35)</f>
        <v>35</v>
      </c>
      <c r="D160" s="3">
        <f>SUM(34+32+34)</f>
        <v>100</v>
      </c>
      <c r="V160" s="5"/>
      <c r="W160" s="5"/>
    </row>
    <row r="161" spans="1:23" ht="15.75" x14ac:dyDescent="0.5">
      <c r="A161" s="4" t="s">
        <v>142</v>
      </c>
      <c r="B161" s="3">
        <f>SUM(C161:U161)</f>
        <v>131.6</v>
      </c>
      <c r="C161" s="3">
        <v>0</v>
      </c>
      <c r="D161" s="3">
        <v>0</v>
      </c>
      <c r="E161" s="3">
        <f>SUM(31+49.6+51)</f>
        <v>131.6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x14ac:dyDescent="0.5">
      <c r="A162" s="4" t="s">
        <v>143</v>
      </c>
      <c r="B162" s="3">
        <f>SUM(C162:U162)</f>
        <v>131.5</v>
      </c>
      <c r="C162" s="3">
        <v>0</v>
      </c>
      <c r="D162" s="3">
        <f>SUM(40.5)</f>
        <v>40.5</v>
      </c>
      <c r="E162" s="3">
        <f>SUM(34+57)</f>
        <v>91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.75" x14ac:dyDescent="0.5">
      <c r="A163" s="11" t="s">
        <v>144</v>
      </c>
      <c r="B163" s="3">
        <f>SUM(C163:U163)</f>
        <v>131</v>
      </c>
      <c r="C163" s="3">
        <v>0</v>
      </c>
      <c r="D163" s="3">
        <f>SUM(31+50+50)</f>
        <v>131</v>
      </c>
      <c r="V163" s="5"/>
      <c r="W163" s="5"/>
    </row>
    <row r="164" spans="1:23" ht="15.75" x14ac:dyDescent="0.5">
      <c r="A164" s="16" t="s">
        <v>145</v>
      </c>
      <c r="B164" s="3">
        <f>SUM(C164:U164)</f>
        <v>130</v>
      </c>
      <c r="C164" s="3">
        <v>0</v>
      </c>
      <c r="D164" s="3">
        <f>SUM(30+50+50)</f>
        <v>130</v>
      </c>
      <c r="V164" s="5"/>
      <c r="W164" s="5"/>
    </row>
    <row r="165" spans="1:23" ht="15.75" x14ac:dyDescent="0.5">
      <c r="A165" s="11" t="s">
        <v>146</v>
      </c>
      <c r="B165" s="3">
        <f>SUM(C165:U165)</f>
        <v>130</v>
      </c>
      <c r="C165" s="3">
        <v>0</v>
      </c>
      <c r="D165" s="3">
        <f>SUM(30+50+50)</f>
        <v>130</v>
      </c>
      <c r="V165" s="5"/>
      <c r="W165" s="5"/>
    </row>
    <row r="166" spans="1:23" ht="15.75" x14ac:dyDescent="0.5">
      <c r="A166" s="10" t="s">
        <v>293</v>
      </c>
      <c r="B166" s="3">
        <f>SUM(C166:U166)</f>
        <v>130</v>
      </c>
      <c r="C166" s="3">
        <f>SUM(30+50+50)</f>
        <v>130</v>
      </c>
      <c r="V166" s="5"/>
      <c r="W166" s="5"/>
    </row>
    <row r="167" spans="1:23" ht="15.75" x14ac:dyDescent="0.5">
      <c r="A167" s="4" t="s">
        <v>147</v>
      </c>
      <c r="B167" s="3">
        <f>SUM(C167:U167)</f>
        <v>128.6</v>
      </c>
      <c r="C167" s="3">
        <v>0</v>
      </c>
      <c r="D167" s="3">
        <v>0</v>
      </c>
      <c r="E167" s="3">
        <f>SUM(30.6+48.4+49.6)</f>
        <v>128.6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x14ac:dyDescent="0.5">
      <c r="A168" s="4" t="s">
        <v>160</v>
      </c>
      <c r="B168" s="3">
        <f>SUM(C168:U168)</f>
        <v>126.5</v>
      </c>
      <c r="C168" s="3">
        <f>SUM(30.5)</f>
        <v>30.5</v>
      </c>
      <c r="D168" s="3">
        <v>0</v>
      </c>
      <c r="E168" s="5"/>
      <c r="F168" s="3">
        <f>SUM(34+62)</f>
        <v>96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.75" x14ac:dyDescent="0.5">
      <c r="A169" s="11" t="s">
        <v>257</v>
      </c>
      <c r="B169" s="3">
        <f>SUM(C169:U169)</f>
        <v>124</v>
      </c>
      <c r="C169" s="3">
        <f>SUM(40+52)</f>
        <v>92</v>
      </c>
      <c r="D169" s="3">
        <f>SUM(32)</f>
        <v>32</v>
      </c>
      <c r="V169" s="5"/>
      <c r="W169" s="5"/>
    </row>
    <row r="170" spans="1:23" ht="15.75" x14ac:dyDescent="0.5">
      <c r="A170" s="4" t="s">
        <v>149</v>
      </c>
      <c r="B170" s="3">
        <f>SUM(C170:U170)</f>
        <v>121</v>
      </c>
      <c r="C170" s="3">
        <v>0</v>
      </c>
      <c r="D170" s="3">
        <v>0</v>
      </c>
      <c r="E170" s="5"/>
      <c r="F170" s="5"/>
      <c r="G170" s="5"/>
      <c r="H170" s="5"/>
      <c r="I170" s="5"/>
      <c r="J170" s="5"/>
      <c r="K170" s="3">
        <v>32</v>
      </c>
      <c r="L170" s="3">
        <v>89</v>
      </c>
      <c r="M170" s="5"/>
      <c r="N170" s="3"/>
      <c r="O170" s="3"/>
      <c r="P170" s="5"/>
      <c r="Q170" s="5"/>
      <c r="R170" s="5"/>
      <c r="S170" s="5"/>
      <c r="T170" s="5"/>
      <c r="U170" s="5"/>
      <c r="V170" s="5"/>
      <c r="W170" s="5"/>
    </row>
    <row r="171" spans="1:23" ht="15.75" x14ac:dyDescent="0.5">
      <c r="A171" s="3" t="s">
        <v>151</v>
      </c>
      <c r="B171" s="3">
        <f>SUM(C171:U171)</f>
        <v>112</v>
      </c>
      <c r="C171" s="3">
        <v>0</v>
      </c>
      <c r="D171" s="3">
        <v>0</v>
      </c>
      <c r="E171" s="5"/>
      <c r="F171" s="5"/>
      <c r="G171" s="3">
        <v>30</v>
      </c>
      <c r="H171" s="5"/>
      <c r="I171" s="3">
        <v>82</v>
      </c>
      <c r="J171" s="5"/>
      <c r="K171" s="5"/>
      <c r="L171" s="5"/>
      <c r="M171" s="5"/>
      <c r="N171" s="3"/>
      <c r="O171" s="3"/>
      <c r="P171" s="5"/>
      <c r="Q171" s="5"/>
      <c r="R171" s="5"/>
      <c r="S171" s="5"/>
      <c r="T171" s="5"/>
      <c r="U171" s="5"/>
      <c r="V171" s="5"/>
      <c r="W171" s="5"/>
    </row>
    <row r="172" spans="1:23" ht="15.75" x14ac:dyDescent="0.5">
      <c r="A172" s="4" t="s">
        <v>153</v>
      </c>
      <c r="B172" s="3">
        <f>SUM(C172:U172)</f>
        <v>103.6</v>
      </c>
      <c r="C172" s="3">
        <v>0</v>
      </c>
      <c r="D172" s="3">
        <v>0</v>
      </c>
      <c r="E172" s="3">
        <f>SUM(30+31.6+42)</f>
        <v>103.6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75" x14ac:dyDescent="0.5">
      <c r="A173" s="4" t="s">
        <v>155</v>
      </c>
      <c r="B173" s="3">
        <f>SUM(C173:U173)</f>
        <v>100</v>
      </c>
      <c r="C173" s="3">
        <v>0</v>
      </c>
      <c r="D173" s="3">
        <v>0</v>
      </c>
      <c r="E173" s="5"/>
      <c r="F173" s="5"/>
      <c r="G173" s="5"/>
      <c r="H173" s="3">
        <v>56</v>
      </c>
      <c r="I173" s="5"/>
      <c r="J173" s="3">
        <v>44</v>
      </c>
      <c r="K173" s="5"/>
      <c r="L173" s="5"/>
      <c r="M173" s="5"/>
      <c r="N173" s="3"/>
      <c r="O173" s="3"/>
      <c r="P173" s="5"/>
      <c r="Q173" s="5"/>
      <c r="R173" s="5"/>
      <c r="S173" s="5"/>
      <c r="T173" s="5"/>
      <c r="U173" s="5"/>
      <c r="V173" s="5"/>
      <c r="W173" s="5"/>
    </row>
    <row r="174" spans="1:23" ht="15.75" x14ac:dyDescent="0.5">
      <c r="A174" s="4" t="s">
        <v>157</v>
      </c>
      <c r="B174" s="3">
        <f>SUM(C174:U174)</f>
        <v>98.5</v>
      </c>
      <c r="C174" s="3">
        <v>0</v>
      </c>
      <c r="D174" s="3">
        <v>0</v>
      </c>
      <c r="E174" s="5"/>
      <c r="F174" s="5"/>
      <c r="G174" s="5"/>
      <c r="H174" s="5"/>
      <c r="I174" s="3">
        <v>98.5</v>
      </c>
      <c r="J174" s="5"/>
      <c r="K174" s="5"/>
      <c r="L174" s="5"/>
      <c r="M174" s="5"/>
      <c r="N174" s="3"/>
      <c r="O174" s="3"/>
      <c r="P174" s="5"/>
      <c r="Q174" s="5"/>
      <c r="R174" s="5"/>
      <c r="S174" s="5"/>
      <c r="T174" s="5"/>
      <c r="U174" s="5"/>
      <c r="V174" s="5"/>
      <c r="W174" s="5"/>
    </row>
    <row r="175" spans="1:23" ht="15.75" x14ac:dyDescent="0.5">
      <c r="A175" s="4" t="s">
        <v>158</v>
      </c>
      <c r="B175" s="3">
        <f>SUM(C175:U175)</f>
        <v>98</v>
      </c>
      <c r="C175" s="3">
        <v>0</v>
      </c>
      <c r="D175" s="3">
        <v>0</v>
      </c>
      <c r="E175" s="5"/>
      <c r="F175" s="5"/>
      <c r="G175" s="5"/>
      <c r="H175" s="5"/>
      <c r="I175" s="5"/>
      <c r="J175" s="5"/>
      <c r="K175" s="3">
        <v>98</v>
      </c>
      <c r="L175" s="5"/>
      <c r="M175" s="5"/>
      <c r="N175" s="3"/>
      <c r="O175" s="3"/>
      <c r="P175" s="5"/>
      <c r="Q175" s="5"/>
      <c r="R175" s="5"/>
      <c r="S175" s="5"/>
      <c r="T175" s="5"/>
      <c r="U175" s="5"/>
      <c r="V175" s="5"/>
      <c r="W175" s="5"/>
    </row>
    <row r="176" spans="1:23" ht="15.75" x14ac:dyDescent="0.5">
      <c r="A176" s="3" t="s">
        <v>189</v>
      </c>
      <c r="B176" s="3">
        <f>SUM(C176:U176)</f>
        <v>98</v>
      </c>
      <c r="C176" s="3">
        <f>SUM(30)</f>
        <v>30</v>
      </c>
      <c r="D176" s="3">
        <v>0</v>
      </c>
      <c r="E176" s="3">
        <f>SUM(34+34)</f>
        <v>68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.75" x14ac:dyDescent="0.5">
      <c r="A177" s="4" t="s">
        <v>161</v>
      </c>
      <c r="B177" s="3">
        <f>SUM(C177:U177)</f>
        <v>95.6</v>
      </c>
      <c r="C177" s="3">
        <v>0</v>
      </c>
      <c r="D177" s="3">
        <f>SUM(32)</f>
        <v>32</v>
      </c>
      <c r="E177" s="3">
        <f>SUM(31.6)</f>
        <v>31.6</v>
      </c>
      <c r="F177" s="3">
        <v>32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.75" x14ac:dyDescent="0.5">
      <c r="A178" s="3" t="s">
        <v>162</v>
      </c>
      <c r="B178" s="3">
        <f>SUM(C178:U178)</f>
        <v>94</v>
      </c>
      <c r="C178" s="3">
        <v>0</v>
      </c>
      <c r="D178" s="3">
        <v>0</v>
      </c>
      <c r="E178" s="5"/>
      <c r="F178" s="5"/>
      <c r="G178" s="5"/>
      <c r="H178" s="5"/>
      <c r="I178" s="5"/>
      <c r="J178" s="3">
        <v>94</v>
      </c>
      <c r="K178" s="5"/>
      <c r="L178" s="5"/>
      <c r="M178" s="5"/>
      <c r="N178" s="3"/>
      <c r="O178" s="3"/>
      <c r="P178" s="5"/>
      <c r="Q178" s="5"/>
      <c r="R178" s="5"/>
      <c r="S178" s="5"/>
      <c r="T178" s="5"/>
      <c r="U178" s="5"/>
      <c r="V178" s="5"/>
      <c r="W178" s="5"/>
    </row>
    <row r="179" spans="1:23" ht="15.75" x14ac:dyDescent="0.5">
      <c r="A179" s="4" t="s">
        <v>163</v>
      </c>
      <c r="B179" s="3">
        <f>SUM(C179:U179)</f>
        <v>92.5</v>
      </c>
      <c r="C179" s="3">
        <v>0</v>
      </c>
      <c r="D179" s="3">
        <v>0</v>
      </c>
      <c r="E179" s="5"/>
      <c r="F179" s="5"/>
      <c r="G179" s="5"/>
      <c r="H179" s="5"/>
      <c r="I179" s="5"/>
      <c r="J179" s="3">
        <v>92.5</v>
      </c>
      <c r="K179" s="5"/>
      <c r="L179" s="5"/>
      <c r="M179" s="5"/>
      <c r="N179" s="3"/>
      <c r="O179" s="3"/>
      <c r="P179" s="5"/>
      <c r="Q179" s="5"/>
      <c r="R179" s="5"/>
      <c r="S179" s="5"/>
      <c r="T179" s="5"/>
      <c r="U179" s="5"/>
      <c r="V179" s="5"/>
      <c r="W179" s="5"/>
    </row>
    <row r="180" spans="1:23" ht="15.75" x14ac:dyDescent="0.5">
      <c r="A180" s="4" t="s">
        <v>165</v>
      </c>
      <c r="B180" s="3">
        <f>SUM(C180:U180)</f>
        <v>89.5</v>
      </c>
      <c r="C180" s="3">
        <v>0</v>
      </c>
      <c r="D180" s="3">
        <f>SUM(34+55.5)</f>
        <v>89.5</v>
      </c>
      <c r="V180" s="5"/>
      <c r="W180" s="5"/>
    </row>
    <row r="181" spans="1:23" ht="15.75" x14ac:dyDescent="0.5">
      <c r="A181" s="7" t="s">
        <v>166</v>
      </c>
      <c r="B181" s="3">
        <f>SUM(C181:U181)</f>
        <v>89.1</v>
      </c>
      <c r="C181" s="3">
        <v>0</v>
      </c>
      <c r="D181" s="3">
        <f>SUM(33.6+55.5)</f>
        <v>89.1</v>
      </c>
      <c r="V181" s="5"/>
      <c r="W181" s="5"/>
    </row>
    <row r="182" spans="1:23" ht="15.75" x14ac:dyDescent="0.5">
      <c r="A182" s="4" t="s">
        <v>167</v>
      </c>
      <c r="B182" s="3">
        <f>SUM(C182:U182)</f>
        <v>89</v>
      </c>
      <c r="C182" s="3">
        <v>0</v>
      </c>
      <c r="D182" s="3">
        <v>0</v>
      </c>
      <c r="E182" s="5"/>
      <c r="F182" s="5"/>
      <c r="G182" s="5"/>
      <c r="H182" s="5"/>
      <c r="I182" s="5"/>
      <c r="J182" s="5"/>
      <c r="K182" s="5"/>
      <c r="L182" s="3">
        <v>55</v>
      </c>
      <c r="M182" s="3">
        <v>34</v>
      </c>
      <c r="N182" s="3"/>
      <c r="O182" s="3"/>
      <c r="P182" s="5"/>
      <c r="Q182" s="5"/>
      <c r="R182" s="5"/>
      <c r="S182" s="5"/>
      <c r="T182" s="5"/>
      <c r="U182" s="5"/>
      <c r="V182" s="5"/>
      <c r="W182" s="5"/>
    </row>
    <row r="183" spans="1:23" ht="15.75" x14ac:dyDescent="0.5">
      <c r="A183" s="3" t="s">
        <v>168</v>
      </c>
      <c r="B183" s="3">
        <f>SUM(C183:U183)</f>
        <v>89</v>
      </c>
      <c r="C183" s="3">
        <v>0</v>
      </c>
      <c r="D183" s="3">
        <v>0</v>
      </c>
      <c r="E183" s="5"/>
      <c r="F183" s="5"/>
      <c r="G183" s="5"/>
      <c r="H183" s="5"/>
      <c r="I183" s="5"/>
      <c r="J183" s="5"/>
      <c r="K183" s="5"/>
      <c r="L183" s="5"/>
      <c r="M183" s="3">
        <v>89</v>
      </c>
      <c r="N183" s="3"/>
      <c r="O183" s="3"/>
      <c r="P183" s="5"/>
      <c r="Q183" s="5"/>
      <c r="R183" s="5"/>
      <c r="S183" s="5"/>
      <c r="T183" s="5"/>
      <c r="U183" s="5"/>
      <c r="V183" s="5"/>
      <c r="W183" s="5"/>
    </row>
    <row r="184" spans="1:23" ht="15.75" x14ac:dyDescent="0.5">
      <c r="A184" s="4" t="s">
        <v>169</v>
      </c>
      <c r="B184" s="3">
        <f>SUM(C184:U184)</f>
        <v>88.6</v>
      </c>
      <c r="C184" s="3">
        <v>0</v>
      </c>
      <c r="D184" s="3">
        <v>0</v>
      </c>
      <c r="E184" s="3">
        <f>SUM(31.6+57)</f>
        <v>88.6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.75" x14ac:dyDescent="0.5">
      <c r="A185" s="3" t="s">
        <v>170</v>
      </c>
      <c r="B185" s="3">
        <f>SUM(C185:U185)</f>
        <v>85</v>
      </c>
      <c r="C185" s="3">
        <v>0</v>
      </c>
      <c r="D185" s="3">
        <v>0</v>
      </c>
      <c r="E185" s="3">
        <f>SUM(53)</f>
        <v>53</v>
      </c>
      <c r="F185" s="3">
        <f>SUM(32)</f>
        <v>32</v>
      </c>
      <c r="G185" s="5"/>
      <c r="H185" s="5"/>
      <c r="I185" s="5"/>
      <c r="J185" s="5"/>
      <c r="K185" s="5"/>
      <c r="L185" s="5"/>
      <c r="M185" s="5"/>
      <c r="N185" s="3"/>
      <c r="O185" s="3"/>
      <c r="P185" s="5"/>
      <c r="Q185" s="5"/>
      <c r="R185" s="5"/>
      <c r="S185" s="5"/>
      <c r="T185" s="5"/>
      <c r="U185" s="5"/>
      <c r="V185" s="5"/>
      <c r="W185" s="5"/>
    </row>
    <row r="186" spans="1:23" ht="15.75" x14ac:dyDescent="0.5">
      <c r="A186" s="3" t="s">
        <v>171</v>
      </c>
      <c r="B186" s="3">
        <f>SUM(C186:U186)</f>
        <v>85</v>
      </c>
      <c r="C186" s="3">
        <v>0</v>
      </c>
      <c r="D186" s="3">
        <v>0</v>
      </c>
      <c r="E186" s="5"/>
      <c r="F186" s="5"/>
      <c r="G186" s="5"/>
      <c r="H186" s="5"/>
      <c r="I186" s="5"/>
      <c r="J186" s="5"/>
      <c r="K186" s="5"/>
      <c r="L186" s="5"/>
      <c r="M186" s="3">
        <v>85</v>
      </c>
      <c r="N186" s="3"/>
      <c r="O186" s="3"/>
      <c r="P186" s="5"/>
      <c r="Q186" s="5"/>
      <c r="R186" s="5"/>
      <c r="S186" s="5"/>
      <c r="T186" s="5"/>
      <c r="U186" s="5"/>
      <c r="V186" s="5"/>
      <c r="W186" s="5"/>
    </row>
    <row r="187" spans="1:23" ht="15.75" x14ac:dyDescent="0.5">
      <c r="A187" s="4" t="s">
        <v>274</v>
      </c>
      <c r="B187" s="3">
        <f>SUM(C187:U187)</f>
        <v>85</v>
      </c>
      <c r="C187" s="3">
        <f>SUM(55)</f>
        <v>55</v>
      </c>
      <c r="D187" s="3">
        <f>SUM(30)</f>
        <v>30</v>
      </c>
      <c r="V187" s="5"/>
      <c r="W187" s="5"/>
    </row>
    <row r="188" spans="1:23" ht="15.75" x14ac:dyDescent="0.5">
      <c r="A188" s="15" t="s">
        <v>295</v>
      </c>
      <c r="B188" s="3">
        <f>SUM(C188:U188)</f>
        <v>85</v>
      </c>
      <c r="C188" s="3">
        <f>SUM(35+50)</f>
        <v>85</v>
      </c>
      <c r="V188" s="5"/>
      <c r="W188" s="5"/>
    </row>
    <row r="189" spans="1:23" ht="15.75" x14ac:dyDescent="0.5">
      <c r="A189" s="15" t="s">
        <v>289</v>
      </c>
      <c r="B189" s="3">
        <f>SUM(C189:U189)</f>
        <v>84</v>
      </c>
      <c r="C189" s="3">
        <f>SUM(34+50)</f>
        <v>84</v>
      </c>
      <c r="V189" s="5"/>
      <c r="W189" s="5"/>
    </row>
    <row r="190" spans="1:23" ht="15.75" x14ac:dyDescent="0.5">
      <c r="A190" s="10" t="s">
        <v>290</v>
      </c>
      <c r="B190" s="3">
        <f>SUM(C190:U190)</f>
        <v>84</v>
      </c>
      <c r="C190" s="3">
        <f>SUM(34+50)</f>
        <v>84</v>
      </c>
      <c r="V190" s="5"/>
      <c r="W190" s="5"/>
    </row>
    <row r="191" spans="1:23" ht="15.75" x14ac:dyDescent="0.5">
      <c r="A191" s="4" t="s">
        <v>173</v>
      </c>
      <c r="B191" s="3">
        <f>SUM(C191:U191)</f>
        <v>83</v>
      </c>
      <c r="C191" s="3">
        <v>0</v>
      </c>
      <c r="D191" s="3">
        <v>0</v>
      </c>
      <c r="E191" s="5"/>
      <c r="F191" s="3">
        <f>SUM(30+53)</f>
        <v>83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x14ac:dyDescent="0.5">
      <c r="A192" s="3" t="s">
        <v>174</v>
      </c>
      <c r="B192" s="3">
        <f>SUM(C192:U192)</f>
        <v>83</v>
      </c>
      <c r="C192" s="3">
        <v>0</v>
      </c>
      <c r="D192" s="3">
        <v>0</v>
      </c>
      <c r="E192" s="5"/>
      <c r="F192" s="5"/>
      <c r="G192" s="5"/>
      <c r="H192" s="5"/>
      <c r="I192" s="5"/>
      <c r="J192" s="3">
        <v>44</v>
      </c>
      <c r="K192" s="3">
        <v>39</v>
      </c>
      <c r="L192" s="5"/>
      <c r="M192" s="5"/>
      <c r="N192" s="3"/>
      <c r="O192" s="3"/>
      <c r="P192" s="5"/>
      <c r="Q192" s="5"/>
      <c r="R192" s="5"/>
      <c r="S192" s="5"/>
      <c r="T192" s="5"/>
      <c r="U192" s="5"/>
      <c r="V192" s="5"/>
      <c r="W192" s="5"/>
    </row>
    <row r="193" spans="1:23" ht="15.75" x14ac:dyDescent="0.5">
      <c r="A193" s="4" t="s">
        <v>247</v>
      </c>
      <c r="B193" s="3">
        <f>SUM(C193:U193)</f>
        <v>83</v>
      </c>
      <c r="C193" s="3">
        <f>SUM(50)</f>
        <v>50</v>
      </c>
      <c r="D193" s="3">
        <v>0</v>
      </c>
      <c r="E193" s="3">
        <f>SUM(33)</f>
        <v>33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x14ac:dyDescent="0.5">
      <c r="A194" s="10" t="s">
        <v>297</v>
      </c>
      <c r="B194" s="3">
        <f>SUM(C194:U194)</f>
        <v>82.5</v>
      </c>
      <c r="C194" s="3">
        <f>SUM(30+52.5)</f>
        <v>82.5</v>
      </c>
      <c r="V194" s="5"/>
      <c r="W194" s="5"/>
    </row>
    <row r="195" spans="1:23" ht="15.75" x14ac:dyDescent="0.5">
      <c r="A195" s="10" t="s">
        <v>300</v>
      </c>
      <c r="B195" s="3">
        <f>SUM(C195:U195)</f>
        <v>82.5</v>
      </c>
      <c r="C195" s="3">
        <f>SUM(30+52.5)</f>
        <v>82.5</v>
      </c>
      <c r="V195" s="5"/>
      <c r="W195" s="5"/>
    </row>
    <row r="196" spans="1:23" ht="15.75" x14ac:dyDescent="0.5">
      <c r="A196" s="10" t="s">
        <v>301</v>
      </c>
      <c r="B196" s="3">
        <f>SUM(C196:U196)</f>
        <v>82.5</v>
      </c>
      <c r="C196" s="3">
        <f>SUM(30+52.5)</f>
        <v>82.5</v>
      </c>
      <c r="V196" s="5"/>
      <c r="W196" s="5"/>
    </row>
    <row r="197" spans="1:23" ht="15.75" x14ac:dyDescent="0.5">
      <c r="A197" s="4" t="s">
        <v>175</v>
      </c>
      <c r="B197" s="3">
        <f>SUM(C197:U197)</f>
        <v>82</v>
      </c>
      <c r="C197" s="3">
        <v>0</v>
      </c>
      <c r="D197" s="3">
        <v>0</v>
      </c>
      <c r="E197" s="3">
        <f>SUM(31+51)</f>
        <v>82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5"/>
      <c r="W197" s="5"/>
    </row>
    <row r="198" spans="1:23" ht="15.75" x14ac:dyDescent="0.5">
      <c r="A198" s="16" t="s">
        <v>255</v>
      </c>
      <c r="B198" s="3">
        <f>SUM(C198:U198)</f>
        <v>82</v>
      </c>
      <c r="C198" s="3">
        <f>SUM(50)</f>
        <v>50</v>
      </c>
      <c r="D198" s="3">
        <f>SUM(32)</f>
        <v>32</v>
      </c>
      <c r="V198" s="5"/>
      <c r="W198" s="5"/>
    </row>
    <row r="199" spans="1:23" ht="15.75" x14ac:dyDescent="0.5">
      <c r="A199" s="10" t="s">
        <v>53</v>
      </c>
      <c r="B199" s="3">
        <f>SUM(C199:U199)</f>
        <v>82</v>
      </c>
      <c r="C199" s="3">
        <f>SUM(30+52)</f>
        <v>82</v>
      </c>
      <c r="V199" s="5"/>
      <c r="W199" s="5"/>
    </row>
    <row r="200" spans="1:23" ht="15.75" x14ac:dyDescent="0.5">
      <c r="A200" s="4" t="s">
        <v>176</v>
      </c>
      <c r="B200" s="3">
        <f>SUM(C200:U200)</f>
        <v>81</v>
      </c>
      <c r="C200" s="3">
        <v>0</v>
      </c>
      <c r="D200" s="3">
        <v>0</v>
      </c>
      <c r="E200" s="5"/>
      <c r="F200" s="3">
        <f>SUM(39)</f>
        <v>39</v>
      </c>
      <c r="G200" s="3">
        <v>42</v>
      </c>
      <c r="H200" s="5"/>
      <c r="I200" s="5"/>
      <c r="J200" s="5"/>
      <c r="K200" s="5"/>
      <c r="L200" s="5"/>
      <c r="M200" s="5"/>
      <c r="N200" s="3"/>
      <c r="O200" s="3"/>
      <c r="P200" s="5"/>
      <c r="Q200" s="5"/>
      <c r="R200" s="5"/>
      <c r="S200" s="5"/>
      <c r="T200" s="5"/>
      <c r="U200" s="5"/>
      <c r="V200" s="5"/>
      <c r="W200" s="5"/>
    </row>
    <row r="201" spans="1:23" ht="15.75" x14ac:dyDescent="0.5">
      <c r="A201" s="4" t="s">
        <v>177</v>
      </c>
      <c r="B201" s="3">
        <f>SUM(C201:U201)</f>
        <v>80.599999999999994</v>
      </c>
      <c r="C201" s="3">
        <v>0</v>
      </c>
      <c r="D201" s="3">
        <v>0</v>
      </c>
      <c r="E201" s="3">
        <f>SUM(31+49.6)</f>
        <v>80.599999999999994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x14ac:dyDescent="0.5">
      <c r="A202" s="4" t="s">
        <v>178</v>
      </c>
      <c r="B202" s="3">
        <f>SUM(C202:U202)</f>
        <v>80</v>
      </c>
      <c r="C202" s="3">
        <v>0</v>
      </c>
      <c r="D202" s="3">
        <f>SUM(46)</f>
        <v>46</v>
      </c>
      <c r="E202" s="5"/>
      <c r="F202" s="3">
        <f>SUM(34)</f>
        <v>34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.75" x14ac:dyDescent="0.5">
      <c r="A203" s="14" t="s">
        <v>179</v>
      </c>
      <c r="B203" s="3">
        <f>SUM(C203:U203)</f>
        <v>77.599999999999994</v>
      </c>
      <c r="C203" s="3">
        <v>0</v>
      </c>
      <c r="D203" s="3">
        <f>SUM(33.6+44)</f>
        <v>77.599999999999994</v>
      </c>
      <c r="V203" s="5"/>
      <c r="W203" s="5"/>
    </row>
    <row r="204" spans="1:23" ht="15.75" x14ac:dyDescent="0.5">
      <c r="A204" s="7" t="s">
        <v>180</v>
      </c>
      <c r="B204" s="3">
        <f>SUM(C204:U204)</f>
        <v>77.5</v>
      </c>
      <c r="C204" s="3">
        <v>0</v>
      </c>
      <c r="D204" s="3">
        <v>0</v>
      </c>
      <c r="E204" s="5"/>
      <c r="F204" s="3">
        <f>SUM(39+38.5)</f>
        <v>77.5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</row>
    <row r="205" spans="1:23" ht="15.75" x14ac:dyDescent="0.5">
      <c r="A205" s="4" t="s">
        <v>181</v>
      </c>
      <c r="B205" s="3">
        <f>SUM(C205:U205)</f>
        <v>77</v>
      </c>
      <c r="C205" s="3">
        <v>0</v>
      </c>
      <c r="D205" s="3">
        <v>0</v>
      </c>
      <c r="E205" s="5"/>
      <c r="F205" s="5"/>
      <c r="G205" s="5"/>
      <c r="H205" s="5"/>
      <c r="I205" s="5"/>
      <c r="J205" s="5"/>
      <c r="K205" s="5"/>
      <c r="L205" s="3">
        <v>77</v>
      </c>
      <c r="M205" s="5"/>
      <c r="N205" s="3"/>
      <c r="O205" s="3"/>
      <c r="P205" s="5"/>
      <c r="Q205" s="5"/>
      <c r="R205" s="5"/>
      <c r="S205" s="5"/>
      <c r="T205" s="5"/>
      <c r="U205" s="5"/>
    </row>
    <row r="206" spans="1:23" ht="15.75" x14ac:dyDescent="0.5">
      <c r="A206" s="4" t="s">
        <v>182</v>
      </c>
      <c r="B206" s="3">
        <f>SUM(C206:U206)</f>
        <v>76</v>
      </c>
      <c r="C206" s="3">
        <v>0</v>
      </c>
      <c r="D206" s="3">
        <f>SUM(34)</f>
        <v>34</v>
      </c>
      <c r="E206" s="5"/>
      <c r="F206" s="5"/>
      <c r="G206" s="3">
        <v>42</v>
      </c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3" ht="15.75" x14ac:dyDescent="0.5">
      <c r="A207" s="3" t="s">
        <v>183</v>
      </c>
      <c r="B207" s="3">
        <f>SUM(C207:U207)</f>
        <v>76</v>
      </c>
      <c r="C207" s="3">
        <v>0</v>
      </c>
      <c r="D207" s="3">
        <v>0</v>
      </c>
      <c r="E207" s="5"/>
      <c r="F207" s="5"/>
      <c r="G207" s="5"/>
      <c r="H207" s="5"/>
      <c r="I207" s="5"/>
      <c r="J207" s="5"/>
      <c r="K207" s="5"/>
      <c r="L207" s="3">
        <v>38</v>
      </c>
      <c r="M207" s="3">
        <v>38</v>
      </c>
      <c r="N207" s="3"/>
      <c r="O207" s="3"/>
      <c r="P207" s="5"/>
      <c r="Q207" s="5"/>
      <c r="R207" s="5"/>
      <c r="S207" s="5"/>
      <c r="T207" s="5"/>
      <c r="U207" s="5"/>
    </row>
    <row r="208" spans="1:23" ht="15.75" x14ac:dyDescent="0.5">
      <c r="A208" s="16" t="s">
        <v>184</v>
      </c>
      <c r="B208" s="3">
        <f>SUM(C208:U208)</f>
        <v>73</v>
      </c>
      <c r="C208" s="3">
        <v>0</v>
      </c>
      <c r="D208" s="3">
        <f>SUM(32+41)</f>
        <v>73</v>
      </c>
    </row>
    <row r="209" spans="1:21" ht="15.75" x14ac:dyDescent="0.5">
      <c r="A209" s="4" t="s">
        <v>185</v>
      </c>
      <c r="B209" s="3">
        <f>SUM(C209:U209)</f>
        <v>73</v>
      </c>
      <c r="C209" s="3">
        <v>0</v>
      </c>
      <c r="D209" s="3">
        <v>0</v>
      </c>
      <c r="E209" s="5"/>
      <c r="F209" s="5"/>
      <c r="G209" s="5"/>
      <c r="H209" s="5"/>
      <c r="I209" s="5"/>
      <c r="J209" s="5"/>
      <c r="K209" s="5"/>
      <c r="L209" s="3">
        <v>73</v>
      </c>
      <c r="M209" s="5"/>
      <c r="N209" s="3"/>
      <c r="O209" s="3"/>
      <c r="P209" s="5"/>
      <c r="Q209" s="5"/>
      <c r="R209" s="5"/>
      <c r="S209" s="5"/>
      <c r="T209" s="5"/>
      <c r="U209" s="5"/>
    </row>
    <row r="210" spans="1:21" ht="15.75" x14ac:dyDescent="0.5">
      <c r="A210" s="10" t="s">
        <v>287</v>
      </c>
      <c r="B210" s="3">
        <f>SUM(C210:U210)</f>
        <v>70</v>
      </c>
      <c r="C210" s="3">
        <f>SUM(30+40)</f>
        <v>70</v>
      </c>
      <c r="D210" s="3"/>
    </row>
    <row r="211" spans="1:21" ht="15.75" x14ac:dyDescent="0.5">
      <c r="A211" s="4" t="s">
        <v>188</v>
      </c>
      <c r="B211" s="3">
        <f>SUM(C211:U211)</f>
        <v>69</v>
      </c>
      <c r="C211" s="3">
        <v>0</v>
      </c>
      <c r="D211" s="3">
        <v>0</v>
      </c>
      <c r="E211" s="5"/>
      <c r="F211" s="5"/>
      <c r="G211" s="5"/>
      <c r="H211" s="5"/>
      <c r="I211" s="5"/>
      <c r="J211" s="5"/>
      <c r="K211" s="5"/>
      <c r="L211" s="5"/>
      <c r="M211" s="3">
        <v>69</v>
      </c>
      <c r="N211" s="3"/>
      <c r="O211" s="3"/>
      <c r="P211" s="5"/>
      <c r="Q211" s="5"/>
      <c r="R211" s="5"/>
      <c r="S211" s="5"/>
      <c r="T211" s="5"/>
      <c r="U211" s="5"/>
    </row>
    <row r="212" spans="1:21" ht="15.75" x14ac:dyDescent="0.5">
      <c r="A212" s="4" t="s">
        <v>190</v>
      </c>
      <c r="B212" s="3">
        <f>SUM(C212:U212)</f>
        <v>68</v>
      </c>
      <c r="C212" s="3">
        <v>0</v>
      </c>
      <c r="D212" s="3">
        <v>0</v>
      </c>
      <c r="E212" s="3">
        <f>SUM(34+34)</f>
        <v>68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.75" x14ac:dyDescent="0.5">
      <c r="A213" s="4" t="s">
        <v>191</v>
      </c>
      <c r="B213" s="3">
        <f>SUM(C213:U213)</f>
        <v>68</v>
      </c>
      <c r="C213" s="3">
        <v>0</v>
      </c>
      <c r="D213" s="3">
        <v>0</v>
      </c>
      <c r="E213" s="5"/>
      <c r="F213" s="5"/>
      <c r="G213" s="5"/>
      <c r="H213" s="5"/>
      <c r="I213" s="5"/>
      <c r="J213" s="5"/>
      <c r="K213" s="5"/>
      <c r="L213" s="5"/>
      <c r="M213" s="3">
        <v>68</v>
      </c>
      <c r="N213" s="3"/>
      <c r="O213" s="3"/>
      <c r="P213" s="5"/>
      <c r="Q213" s="5"/>
      <c r="R213" s="5"/>
      <c r="S213" s="5"/>
      <c r="T213" s="5"/>
      <c r="U213" s="5"/>
    </row>
    <row r="214" spans="1:21" ht="15.75" x14ac:dyDescent="0.5">
      <c r="A214" s="16" t="s">
        <v>254</v>
      </c>
      <c r="B214" s="3">
        <f>SUM(C214:U214)</f>
        <v>67</v>
      </c>
      <c r="C214" s="3">
        <f>SUM(35)</f>
        <v>35</v>
      </c>
      <c r="D214" s="3">
        <f>SUM(32)</f>
        <v>32</v>
      </c>
    </row>
    <row r="215" spans="1:21" ht="15.75" x14ac:dyDescent="0.5">
      <c r="A215" s="7" t="s">
        <v>192</v>
      </c>
      <c r="B215" s="3">
        <f>SUM(C215:U215)</f>
        <v>66</v>
      </c>
      <c r="C215" s="3">
        <v>0</v>
      </c>
      <c r="D215" s="3">
        <f>SUM(34+32)</f>
        <v>66</v>
      </c>
    </row>
    <row r="216" spans="1:21" ht="15.75" x14ac:dyDescent="0.5">
      <c r="A216" s="4" t="s">
        <v>193</v>
      </c>
      <c r="B216" s="3">
        <f>SUM(C216:U216)</f>
        <v>66</v>
      </c>
      <c r="C216" s="3">
        <v>0</v>
      </c>
      <c r="D216" s="3">
        <f>SUM(34+32)</f>
        <v>66</v>
      </c>
    </row>
    <row r="217" spans="1:21" ht="15.75" x14ac:dyDescent="0.5">
      <c r="A217" s="12" t="s">
        <v>194</v>
      </c>
      <c r="B217" s="3">
        <f>SUM(C217:U217)</f>
        <v>66</v>
      </c>
      <c r="C217" s="3">
        <v>0</v>
      </c>
      <c r="D217" s="3">
        <f>SUM(34+32)</f>
        <v>66</v>
      </c>
    </row>
    <row r="218" spans="1:21" ht="15.75" x14ac:dyDescent="0.5">
      <c r="A218" s="4" t="s">
        <v>195</v>
      </c>
      <c r="B218" s="3">
        <f>SUM(C218:U218)</f>
        <v>66</v>
      </c>
      <c r="C218" s="3">
        <v>0</v>
      </c>
      <c r="D218" s="3">
        <f>SUM(32)</f>
        <v>32</v>
      </c>
      <c r="E218" s="5"/>
      <c r="F218" s="3">
        <f>SUM(34)</f>
        <v>34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.75" x14ac:dyDescent="0.5">
      <c r="A219" s="4" t="s">
        <v>197</v>
      </c>
      <c r="B219" s="3">
        <f>SUM(C219:U219)</f>
        <v>66</v>
      </c>
      <c r="C219" s="3">
        <v>0</v>
      </c>
      <c r="D219" s="3">
        <v>0</v>
      </c>
      <c r="E219" s="5"/>
      <c r="F219" s="5"/>
      <c r="G219" s="5"/>
      <c r="H219" s="5"/>
      <c r="I219" s="5"/>
      <c r="J219" s="5"/>
      <c r="K219" s="5"/>
      <c r="L219" s="3">
        <v>66</v>
      </c>
      <c r="M219" s="5"/>
      <c r="N219" s="3"/>
      <c r="O219" s="3"/>
      <c r="P219" s="5"/>
      <c r="Q219" s="5"/>
      <c r="R219" s="5"/>
      <c r="S219" s="5"/>
      <c r="T219" s="5"/>
      <c r="U219" s="5"/>
    </row>
    <row r="220" spans="1:21" ht="15.75" x14ac:dyDescent="0.5">
      <c r="A220" s="4" t="s">
        <v>198</v>
      </c>
      <c r="B220" s="3">
        <f>SUM(C220:U220)</f>
        <v>65.599999999999994</v>
      </c>
      <c r="C220" s="3">
        <v>0</v>
      </c>
      <c r="D220" s="3">
        <v>0</v>
      </c>
      <c r="E220" s="3">
        <f>SUM(31.6)</f>
        <v>31.6</v>
      </c>
      <c r="F220" s="3">
        <f>SUM(34)</f>
        <v>34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.75" x14ac:dyDescent="0.5">
      <c r="A221" s="4" t="s">
        <v>199</v>
      </c>
      <c r="B221" s="3">
        <f>SUM(C221:U221)</f>
        <v>64</v>
      </c>
      <c r="C221" s="3">
        <v>0</v>
      </c>
      <c r="D221" s="3">
        <v>0</v>
      </c>
      <c r="E221" s="3">
        <f>SUM(34+30)</f>
        <v>64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.75" x14ac:dyDescent="0.5">
      <c r="A222" s="4" t="s">
        <v>201</v>
      </c>
      <c r="B222" s="3">
        <f>SUM(C222:U222)</f>
        <v>62</v>
      </c>
      <c r="C222" s="3">
        <v>0</v>
      </c>
      <c r="D222" s="3">
        <v>0</v>
      </c>
      <c r="E222" s="5"/>
      <c r="F222" s="3">
        <f>SUM(32+30)</f>
        <v>62</v>
      </c>
      <c r="G222" s="5"/>
      <c r="H222" s="5"/>
      <c r="I222" s="5"/>
      <c r="J222" s="5"/>
      <c r="K222" s="5"/>
      <c r="L222" s="5"/>
      <c r="M222" s="5"/>
      <c r="N222" s="3"/>
      <c r="O222" s="3"/>
      <c r="P222" s="5"/>
      <c r="Q222" s="5"/>
      <c r="R222" s="5"/>
      <c r="S222" s="5"/>
      <c r="T222" s="5"/>
      <c r="U222" s="5"/>
    </row>
    <row r="223" spans="1:21" ht="15.75" x14ac:dyDescent="0.5">
      <c r="A223" s="11" t="s">
        <v>259</v>
      </c>
      <c r="B223" s="3">
        <f>SUM(C223:U223)</f>
        <v>62</v>
      </c>
      <c r="C223" s="3">
        <f>SUM(30)</f>
        <v>30</v>
      </c>
      <c r="D223" s="3">
        <f>SUM(32)</f>
        <v>32</v>
      </c>
    </row>
    <row r="224" spans="1:21" ht="15.75" x14ac:dyDescent="0.5">
      <c r="A224" s="3" t="s">
        <v>262</v>
      </c>
      <c r="B224" s="3">
        <f>SUM(C224:U224)</f>
        <v>62</v>
      </c>
      <c r="C224" s="3">
        <f>SUM(30)</f>
        <v>30</v>
      </c>
      <c r="D224" s="3">
        <v>0</v>
      </c>
      <c r="E224" s="5"/>
      <c r="F224" s="3">
        <v>32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.75" x14ac:dyDescent="0.5">
      <c r="A225" s="4" t="s">
        <v>275</v>
      </c>
      <c r="B225" s="3">
        <f>SUM(C225:U225)</f>
        <v>60</v>
      </c>
      <c r="C225" s="3">
        <f>SUM(30)</f>
        <v>30</v>
      </c>
      <c r="D225" s="3">
        <f>SUM(30)</f>
        <v>30</v>
      </c>
    </row>
    <row r="226" spans="1:21" ht="15.75" x14ac:dyDescent="0.5">
      <c r="A226" s="10" t="s">
        <v>296</v>
      </c>
      <c r="B226" s="3">
        <f>SUM(C226:U226)</f>
        <v>60</v>
      </c>
      <c r="C226" s="3">
        <f>SUM(30+30)</f>
        <v>60</v>
      </c>
    </row>
    <row r="227" spans="1:21" ht="15.75" x14ac:dyDescent="0.5">
      <c r="A227" s="4" t="s">
        <v>202</v>
      </c>
      <c r="B227" s="3">
        <f>SUM(C227:U227)</f>
        <v>51</v>
      </c>
      <c r="C227" s="3">
        <v>0</v>
      </c>
      <c r="D227" s="3">
        <v>0</v>
      </c>
      <c r="E227" s="5"/>
      <c r="F227" s="5"/>
      <c r="G227" s="5"/>
      <c r="H227" s="5"/>
      <c r="I227" s="5"/>
      <c r="J227" s="5"/>
      <c r="K227" s="5"/>
      <c r="L227" s="5"/>
      <c r="M227" s="3">
        <v>51</v>
      </c>
      <c r="N227" s="3"/>
      <c r="O227" s="3"/>
      <c r="P227" s="5"/>
      <c r="Q227" s="5"/>
      <c r="R227" s="5"/>
      <c r="S227" s="5"/>
      <c r="T227" s="5"/>
      <c r="U227" s="5"/>
    </row>
    <row r="228" spans="1:21" ht="15.75" x14ac:dyDescent="0.5">
      <c r="A228" s="4" t="s">
        <v>203</v>
      </c>
      <c r="B228" s="3">
        <f>SUM(C228:U228)</f>
        <v>47</v>
      </c>
      <c r="C228" s="3">
        <v>0</v>
      </c>
      <c r="D228" s="3">
        <v>0</v>
      </c>
      <c r="E228" s="5"/>
      <c r="F228" s="5"/>
      <c r="G228" s="5"/>
      <c r="H228" s="5"/>
      <c r="I228" s="3">
        <v>47</v>
      </c>
      <c r="J228" s="5"/>
      <c r="K228" s="5"/>
      <c r="L228" s="5"/>
      <c r="M228" s="5"/>
      <c r="N228" s="3"/>
      <c r="O228" s="3"/>
      <c r="P228" s="5"/>
      <c r="Q228" s="5"/>
      <c r="R228" s="5"/>
      <c r="S228" s="5"/>
      <c r="T228" s="5"/>
      <c r="U228" s="5"/>
    </row>
    <row r="229" spans="1:21" ht="15.75" x14ac:dyDescent="0.5">
      <c r="A229" s="3" t="s">
        <v>204</v>
      </c>
      <c r="B229" s="3">
        <f>SUM(C229:U229)</f>
        <v>46.5</v>
      </c>
      <c r="C229" s="3">
        <v>0</v>
      </c>
      <c r="D229" s="3">
        <v>0</v>
      </c>
      <c r="E229" s="5"/>
      <c r="F229" s="5"/>
      <c r="G229" s="5"/>
      <c r="H229" s="3">
        <v>46.5</v>
      </c>
      <c r="I229" s="5"/>
      <c r="J229" s="5"/>
      <c r="K229" s="5"/>
      <c r="L229" s="5"/>
      <c r="M229" s="5"/>
      <c r="N229" s="3"/>
      <c r="O229" s="3"/>
      <c r="P229" s="5"/>
      <c r="Q229" s="5"/>
      <c r="R229" s="5"/>
      <c r="S229" s="5"/>
      <c r="T229" s="5"/>
      <c r="U229" s="5"/>
    </row>
    <row r="230" spans="1:21" ht="15.75" x14ac:dyDescent="0.5">
      <c r="A230" s="4" t="s">
        <v>205</v>
      </c>
      <c r="B230" s="3">
        <f>SUM(C230:U230)</f>
        <v>46.5</v>
      </c>
      <c r="C230" s="3">
        <v>0</v>
      </c>
      <c r="D230" s="3">
        <v>0</v>
      </c>
      <c r="E230" s="5"/>
      <c r="F230" s="5"/>
      <c r="G230" s="5"/>
      <c r="H230" s="3">
        <v>46.5</v>
      </c>
      <c r="I230" s="5"/>
      <c r="J230" s="5"/>
      <c r="K230" s="5"/>
      <c r="L230" s="5"/>
      <c r="M230" s="5"/>
      <c r="N230" s="3"/>
      <c r="O230" s="3"/>
      <c r="P230" s="5"/>
      <c r="Q230" s="5"/>
      <c r="R230" s="5"/>
      <c r="S230" s="5"/>
      <c r="T230" s="5"/>
      <c r="U230" s="5"/>
    </row>
    <row r="231" spans="1:21" ht="15.75" x14ac:dyDescent="0.5">
      <c r="A231" s="3" t="s">
        <v>206</v>
      </c>
      <c r="B231" s="3">
        <f>SUM(C231:U231)</f>
        <v>46.5</v>
      </c>
      <c r="C231" s="3">
        <v>0</v>
      </c>
      <c r="D231" s="3">
        <v>0</v>
      </c>
      <c r="E231" s="5"/>
      <c r="F231" s="5"/>
      <c r="G231" s="5"/>
      <c r="H231" s="3">
        <v>46.5</v>
      </c>
      <c r="I231" s="5"/>
      <c r="J231" s="5"/>
      <c r="K231" s="5"/>
      <c r="L231" s="5"/>
      <c r="M231" s="5"/>
      <c r="N231" s="3"/>
      <c r="O231" s="3"/>
      <c r="P231" s="5"/>
      <c r="Q231" s="5"/>
      <c r="R231" s="5"/>
      <c r="S231" s="5"/>
      <c r="T231" s="5"/>
      <c r="U231" s="5"/>
    </row>
    <row r="232" spans="1:21" ht="15.75" x14ac:dyDescent="0.5">
      <c r="A232" s="3" t="s">
        <v>207</v>
      </c>
      <c r="B232" s="3">
        <f>SUM(C232:U232)</f>
        <v>46.5</v>
      </c>
      <c r="C232" s="3">
        <v>0</v>
      </c>
      <c r="D232" s="3">
        <v>0</v>
      </c>
      <c r="E232" s="5"/>
      <c r="F232" s="5"/>
      <c r="G232" s="5"/>
      <c r="H232" s="3">
        <v>46.5</v>
      </c>
      <c r="I232" s="5"/>
      <c r="J232" s="5"/>
      <c r="K232" s="5"/>
      <c r="L232" s="5"/>
      <c r="M232" s="5"/>
      <c r="N232" s="3"/>
      <c r="O232" s="3"/>
      <c r="P232" s="5"/>
      <c r="Q232" s="5"/>
      <c r="R232" s="5"/>
      <c r="S232" s="5"/>
      <c r="T232" s="5"/>
      <c r="U232" s="5"/>
    </row>
    <row r="233" spans="1:21" ht="15.75" x14ac:dyDescent="0.5">
      <c r="A233" s="4" t="s">
        <v>208</v>
      </c>
      <c r="B233" s="3">
        <f>SUM(C233:U233)</f>
        <v>42</v>
      </c>
      <c r="C233" s="3">
        <v>0</v>
      </c>
      <c r="D233" s="3">
        <v>0</v>
      </c>
      <c r="E233" s="3">
        <f>SUM(42)</f>
        <v>42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.75" x14ac:dyDescent="0.5">
      <c r="A234" s="4" t="s">
        <v>209</v>
      </c>
      <c r="B234" s="3">
        <f>SUM(C234:U234)</f>
        <v>42</v>
      </c>
      <c r="C234" s="3">
        <v>0</v>
      </c>
      <c r="D234" s="3">
        <v>0</v>
      </c>
      <c r="E234" s="3">
        <f>SUM(42)</f>
        <v>42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.75" x14ac:dyDescent="0.5">
      <c r="A235" s="4" t="s">
        <v>210</v>
      </c>
      <c r="B235" s="3">
        <f>SUM(C235:U235)</f>
        <v>42</v>
      </c>
      <c r="C235" s="3">
        <v>0</v>
      </c>
      <c r="D235" s="3">
        <v>0</v>
      </c>
      <c r="E235" s="5"/>
      <c r="F235" s="5"/>
      <c r="G235" s="5"/>
      <c r="H235" s="3">
        <v>42</v>
      </c>
      <c r="I235" s="5"/>
      <c r="J235" s="5"/>
      <c r="K235" s="5"/>
      <c r="L235" s="5"/>
      <c r="M235" s="5"/>
      <c r="N235" s="3"/>
      <c r="O235" s="3"/>
      <c r="P235" s="5"/>
      <c r="Q235" s="5"/>
      <c r="R235" s="5"/>
      <c r="S235" s="5"/>
      <c r="T235" s="5"/>
      <c r="U235" s="5"/>
    </row>
    <row r="236" spans="1:21" ht="15.75" x14ac:dyDescent="0.5">
      <c r="A236" s="4" t="s">
        <v>211</v>
      </c>
      <c r="B236" s="3">
        <f>SUM(C236:U236)</f>
        <v>42</v>
      </c>
      <c r="C236" s="3">
        <v>0</v>
      </c>
      <c r="D236" s="3">
        <v>0</v>
      </c>
      <c r="E236" s="5"/>
      <c r="F236" s="5"/>
      <c r="G236" s="5"/>
      <c r="H236" s="5"/>
      <c r="I236" s="3">
        <v>42</v>
      </c>
      <c r="J236" s="5"/>
      <c r="K236" s="5"/>
      <c r="L236" s="5"/>
      <c r="M236" s="5"/>
      <c r="N236" s="3"/>
      <c r="O236" s="3"/>
      <c r="P236" s="5"/>
      <c r="Q236" s="5"/>
      <c r="R236" s="5"/>
      <c r="S236" s="5"/>
      <c r="T236" s="5"/>
      <c r="U236" s="5"/>
    </row>
    <row r="237" spans="1:21" ht="15.75" x14ac:dyDescent="0.5">
      <c r="A237" s="4" t="s">
        <v>212</v>
      </c>
      <c r="B237" s="3">
        <f>SUM(C237:U237)</f>
        <v>42</v>
      </c>
      <c r="C237" s="3">
        <v>0</v>
      </c>
      <c r="D237" s="3">
        <v>0</v>
      </c>
      <c r="E237" s="5"/>
      <c r="F237" s="5"/>
      <c r="G237" s="5"/>
      <c r="H237" s="5"/>
      <c r="I237" s="3">
        <v>42</v>
      </c>
      <c r="J237" s="5"/>
      <c r="K237" s="5"/>
      <c r="L237" s="5"/>
      <c r="M237" s="5"/>
      <c r="N237" s="3"/>
      <c r="O237" s="3"/>
      <c r="P237" s="5"/>
      <c r="Q237" s="5"/>
      <c r="R237" s="5"/>
      <c r="S237" s="5"/>
      <c r="T237" s="5"/>
      <c r="U237" s="5"/>
    </row>
    <row r="238" spans="1:21" ht="15.75" x14ac:dyDescent="0.5">
      <c r="A238" s="4" t="s">
        <v>213</v>
      </c>
      <c r="B238" s="3">
        <f>SUM(C238:U238)</f>
        <v>42</v>
      </c>
      <c r="C238" s="3">
        <v>0</v>
      </c>
      <c r="D238" s="3">
        <v>0</v>
      </c>
      <c r="E238" s="5"/>
      <c r="F238" s="5"/>
      <c r="G238" s="5"/>
      <c r="H238" s="5"/>
      <c r="I238" s="3">
        <v>42</v>
      </c>
      <c r="J238" s="5"/>
      <c r="K238" s="5"/>
      <c r="L238" s="5"/>
      <c r="M238" s="5"/>
      <c r="N238" s="3"/>
      <c r="O238" s="3"/>
      <c r="P238" s="5"/>
      <c r="Q238" s="5"/>
      <c r="R238" s="5"/>
      <c r="S238" s="5"/>
      <c r="T238" s="5"/>
      <c r="U238" s="5"/>
    </row>
    <row r="239" spans="1:21" ht="15.75" x14ac:dyDescent="0.5">
      <c r="A239" s="4" t="s">
        <v>214</v>
      </c>
      <c r="B239" s="3">
        <f>SUM(C239:U239)</f>
        <v>42</v>
      </c>
      <c r="C239" s="3">
        <v>0</v>
      </c>
      <c r="D239" s="3">
        <v>0</v>
      </c>
      <c r="E239" s="5"/>
      <c r="F239" s="5"/>
      <c r="G239" s="3">
        <v>42</v>
      </c>
      <c r="H239" s="5"/>
      <c r="I239" s="5"/>
      <c r="J239" s="5"/>
      <c r="K239" s="5"/>
      <c r="L239" s="5"/>
      <c r="M239" s="5"/>
      <c r="N239" s="3"/>
      <c r="O239" s="3"/>
      <c r="P239" s="5"/>
      <c r="Q239" s="5"/>
      <c r="R239" s="5"/>
      <c r="S239" s="5"/>
      <c r="T239" s="5"/>
      <c r="U239" s="5"/>
    </row>
    <row r="240" spans="1:21" ht="15.75" x14ac:dyDescent="0.5">
      <c r="A240" s="11" t="s">
        <v>215</v>
      </c>
      <c r="B240" s="3">
        <f>SUM(C240:U240)</f>
        <v>40.5</v>
      </c>
      <c r="C240" s="3">
        <v>0</v>
      </c>
      <c r="D240" s="3">
        <f>SUM(40.5)</f>
        <v>40.5</v>
      </c>
    </row>
    <row r="241" spans="1:21" ht="15.75" x14ac:dyDescent="0.5">
      <c r="A241" s="4" t="s">
        <v>216</v>
      </c>
      <c r="B241" s="3">
        <f>SUM(C241:U241)</f>
        <v>40</v>
      </c>
      <c r="C241" s="3">
        <v>0</v>
      </c>
      <c r="D241" s="3">
        <v>0</v>
      </c>
      <c r="E241" s="5"/>
      <c r="F241" s="5"/>
      <c r="G241" s="5"/>
      <c r="H241" s="5"/>
      <c r="I241" s="5"/>
      <c r="J241" s="3">
        <v>40</v>
      </c>
      <c r="K241" s="5"/>
      <c r="L241" s="5"/>
      <c r="M241" s="5"/>
      <c r="N241" s="3"/>
      <c r="O241" s="3"/>
      <c r="P241" s="5"/>
      <c r="Q241" s="5"/>
      <c r="R241" s="5"/>
      <c r="S241" s="5"/>
      <c r="T241" s="5"/>
      <c r="U241" s="5"/>
    </row>
    <row r="242" spans="1:21" ht="15.75" x14ac:dyDescent="0.5">
      <c r="A242" s="4" t="s">
        <v>217</v>
      </c>
      <c r="B242" s="3">
        <f>SUM(C242:U242)</f>
        <v>40</v>
      </c>
      <c r="C242" s="3">
        <v>0</v>
      </c>
      <c r="D242" s="3">
        <v>0</v>
      </c>
      <c r="E242" s="5"/>
      <c r="F242" s="5"/>
      <c r="G242" s="5"/>
      <c r="H242" s="5"/>
      <c r="I242" s="5"/>
      <c r="J242" s="5"/>
      <c r="K242" s="5"/>
      <c r="L242" s="5"/>
      <c r="M242" s="3">
        <v>40</v>
      </c>
      <c r="N242" s="3"/>
      <c r="O242" s="3"/>
      <c r="P242" s="5"/>
      <c r="Q242" s="5"/>
      <c r="R242" s="5"/>
      <c r="S242" s="5"/>
      <c r="T242" s="5"/>
      <c r="U242" s="5"/>
    </row>
    <row r="243" spans="1:21" ht="15.75" x14ac:dyDescent="0.5">
      <c r="A243" s="4" t="s">
        <v>218</v>
      </c>
      <c r="B243" s="3">
        <f>SUM(C243:U243)</f>
        <v>39</v>
      </c>
      <c r="C243" s="3">
        <v>0</v>
      </c>
      <c r="D243" s="3">
        <v>0</v>
      </c>
      <c r="E243" s="3">
        <f>SUM(39)</f>
        <v>39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.75" x14ac:dyDescent="0.5">
      <c r="A244" s="4" t="s">
        <v>219</v>
      </c>
      <c r="B244" s="3">
        <f>SUM(C244:U244)</f>
        <v>39</v>
      </c>
      <c r="C244" s="3">
        <v>0</v>
      </c>
      <c r="D244" s="3">
        <v>0</v>
      </c>
      <c r="E244" s="5"/>
      <c r="F244" s="3">
        <f>SUM(39)</f>
        <v>39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.75" x14ac:dyDescent="0.5">
      <c r="A245" s="3" t="s">
        <v>220</v>
      </c>
      <c r="B245" s="3">
        <f>SUM(C245:U245)</f>
        <v>39</v>
      </c>
      <c r="C245" s="3">
        <v>0</v>
      </c>
      <c r="D245" s="3">
        <v>0</v>
      </c>
      <c r="E245" s="5"/>
      <c r="F245" s="3">
        <f>SUM(39)</f>
        <v>39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.75" x14ac:dyDescent="0.5">
      <c r="A246" s="3" t="s">
        <v>221</v>
      </c>
      <c r="B246" s="3">
        <f>SUM(C246:U246)</f>
        <v>39</v>
      </c>
      <c r="C246" s="3">
        <v>0</v>
      </c>
      <c r="D246" s="3">
        <v>0</v>
      </c>
      <c r="E246" s="5"/>
      <c r="F246" s="5"/>
      <c r="G246" s="5"/>
      <c r="H246" s="5"/>
      <c r="I246" s="5"/>
      <c r="J246" s="5"/>
      <c r="K246" s="3">
        <v>39</v>
      </c>
      <c r="L246" s="5"/>
      <c r="M246" s="5"/>
      <c r="N246" s="3"/>
      <c r="O246" s="3"/>
      <c r="P246" s="5"/>
      <c r="Q246" s="5"/>
      <c r="R246" s="5"/>
      <c r="S246" s="5"/>
      <c r="T246" s="5"/>
      <c r="U246" s="5"/>
    </row>
    <row r="247" spans="1:21" ht="15.75" x14ac:dyDescent="0.5">
      <c r="A247" s="4" t="s">
        <v>222</v>
      </c>
      <c r="B247" s="3">
        <f>SUM(C247:U247)</f>
        <v>39</v>
      </c>
      <c r="C247" s="3">
        <v>0</v>
      </c>
      <c r="D247" s="3">
        <v>0</v>
      </c>
      <c r="E247" s="5"/>
      <c r="F247" s="5"/>
      <c r="G247" s="5"/>
      <c r="H247" s="5"/>
      <c r="I247" s="5"/>
      <c r="J247" s="5"/>
      <c r="K247" s="3">
        <v>39</v>
      </c>
      <c r="L247" s="5"/>
      <c r="M247" s="5"/>
      <c r="N247" s="3"/>
      <c r="O247" s="3"/>
      <c r="P247" s="5"/>
      <c r="Q247" s="5"/>
      <c r="R247" s="5"/>
      <c r="S247" s="5"/>
      <c r="T247" s="5"/>
      <c r="U247" s="5"/>
    </row>
    <row r="248" spans="1:21" ht="15.75" x14ac:dyDescent="0.5">
      <c r="A248" s="4" t="s">
        <v>223</v>
      </c>
      <c r="B248" s="3">
        <f>SUM(C248:U248)</f>
        <v>39</v>
      </c>
      <c r="C248" s="3">
        <v>0</v>
      </c>
      <c r="D248" s="3">
        <v>0</v>
      </c>
      <c r="E248" s="5"/>
      <c r="F248" s="5"/>
      <c r="G248" s="5"/>
      <c r="H248" s="5"/>
      <c r="I248" s="5"/>
      <c r="J248" s="5"/>
      <c r="K248" s="5"/>
      <c r="L248" s="3">
        <v>39</v>
      </c>
      <c r="M248" s="5"/>
      <c r="N248" s="3"/>
      <c r="O248" s="3"/>
      <c r="P248" s="5"/>
      <c r="Q248" s="5"/>
      <c r="R248" s="5"/>
      <c r="S248" s="5"/>
      <c r="T248" s="5"/>
      <c r="U248" s="5"/>
    </row>
    <row r="249" spans="1:21" ht="15.75" x14ac:dyDescent="0.5">
      <c r="A249" s="4" t="s">
        <v>224</v>
      </c>
      <c r="B249" s="3">
        <f>SUM(C249:U249)</f>
        <v>38.5</v>
      </c>
      <c r="C249" s="3">
        <v>0</v>
      </c>
      <c r="D249" s="3">
        <v>0</v>
      </c>
      <c r="E249" s="5"/>
      <c r="F249" s="3">
        <f>SUM(38.5)</f>
        <v>38.5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.75" x14ac:dyDescent="0.5">
      <c r="A250" s="3" t="s">
        <v>225</v>
      </c>
      <c r="B250" s="3">
        <f>SUM(C250:U250)</f>
        <v>38</v>
      </c>
      <c r="C250" s="3">
        <v>0</v>
      </c>
      <c r="D250" s="3">
        <v>0</v>
      </c>
      <c r="E250" s="3">
        <f>SUM(38)</f>
        <v>38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.75" x14ac:dyDescent="0.5">
      <c r="A251" s="3" t="s">
        <v>226</v>
      </c>
      <c r="B251" s="3">
        <f>SUM(C251:U251)</f>
        <v>38</v>
      </c>
      <c r="C251" s="3">
        <v>0</v>
      </c>
      <c r="D251" s="3">
        <v>0</v>
      </c>
      <c r="E251" s="5"/>
      <c r="F251" s="5"/>
      <c r="G251" s="5"/>
      <c r="H251" s="5"/>
      <c r="I251" s="5"/>
      <c r="J251" s="5"/>
      <c r="K251" s="5"/>
      <c r="L251" s="3">
        <v>38</v>
      </c>
      <c r="M251" s="5"/>
      <c r="N251" s="3"/>
      <c r="O251" s="3"/>
      <c r="P251" s="5"/>
      <c r="Q251" s="5"/>
      <c r="R251" s="5"/>
      <c r="S251" s="5"/>
      <c r="T251" s="5"/>
      <c r="U251" s="5"/>
    </row>
    <row r="252" spans="1:21" ht="15.75" x14ac:dyDescent="0.5">
      <c r="A252" s="3" t="s">
        <v>227</v>
      </c>
      <c r="B252" s="3">
        <f>SUM(C252:U252)</f>
        <v>37</v>
      </c>
      <c r="C252" s="3">
        <v>0</v>
      </c>
      <c r="D252" s="3">
        <v>0</v>
      </c>
      <c r="E252" s="5"/>
      <c r="F252" s="5"/>
      <c r="G252" s="5"/>
      <c r="H252" s="5"/>
      <c r="I252" s="5"/>
      <c r="J252" s="5"/>
      <c r="K252" s="3">
        <v>37</v>
      </c>
      <c r="L252" s="5"/>
      <c r="M252" s="5"/>
      <c r="N252" s="3"/>
      <c r="O252" s="3"/>
      <c r="P252" s="5"/>
      <c r="Q252" s="5"/>
      <c r="R252" s="5"/>
      <c r="S252" s="5"/>
      <c r="T252" s="5"/>
      <c r="U252" s="5"/>
    </row>
    <row r="253" spans="1:21" ht="15.75" x14ac:dyDescent="0.5">
      <c r="A253" s="3" t="s">
        <v>228</v>
      </c>
      <c r="B253" s="3">
        <f>SUM(C253:U253)</f>
        <v>37</v>
      </c>
      <c r="C253" s="3">
        <v>0</v>
      </c>
      <c r="D253" s="3">
        <v>0</v>
      </c>
      <c r="E253" s="5"/>
      <c r="F253" s="5"/>
      <c r="G253" s="5"/>
      <c r="H253" s="5"/>
      <c r="I253" s="5"/>
      <c r="J253" s="5"/>
      <c r="K253" s="3">
        <v>37</v>
      </c>
      <c r="L253" s="5"/>
      <c r="M253" s="5"/>
      <c r="N253" s="3"/>
      <c r="O253" s="3"/>
      <c r="P253" s="5"/>
      <c r="Q253" s="5"/>
      <c r="R253" s="5"/>
      <c r="S253" s="5"/>
      <c r="T253" s="5"/>
      <c r="U253" s="5"/>
    </row>
    <row r="254" spans="1:21" ht="15.75" x14ac:dyDescent="0.5">
      <c r="A254" s="3" t="s">
        <v>229</v>
      </c>
      <c r="B254" s="3">
        <f>SUM(C254:U254)</f>
        <v>34</v>
      </c>
      <c r="C254" s="3">
        <v>0</v>
      </c>
      <c r="D254" s="3">
        <f>SUM(34)</f>
        <v>34</v>
      </c>
    </row>
    <row r="255" spans="1:21" ht="15.75" x14ac:dyDescent="0.5">
      <c r="A255" s="16" t="s">
        <v>230</v>
      </c>
      <c r="B255" s="3">
        <f>SUM(C255:U255)</f>
        <v>34</v>
      </c>
      <c r="C255" s="3">
        <v>0</v>
      </c>
      <c r="D255" s="3">
        <f>SUM(34)</f>
        <v>34</v>
      </c>
    </row>
    <row r="256" spans="1:21" ht="17.25" customHeight="1" x14ac:dyDescent="0.5">
      <c r="A256" s="3" t="s">
        <v>231</v>
      </c>
      <c r="B256" s="3">
        <f>SUM(C256:U256)</f>
        <v>34</v>
      </c>
      <c r="C256" s="3">
        <v>0</v>
      </c>
      <c r="D256" s="3">
        <v>0</v>
      </c>
      <c r="E256" s="3">
        <f>SUM(34)</f>
        <v>34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.75" x14ac:dyDescent="0.5">
      <c r="A257" s="3" t="s">
        <v>232</v>
      </c>
      <c r="B257" s="3">
        <f>SUM(C257:U257)</f>
        <v>34</v>
      </c>
      <c r="C257" s="3">
        <v>0</v>
      </c>
      <c r="D257" s="3">
        <v>0</v>
      </c>
      <c r="E257" s="3">
        <f>SUM(34)</f>
        <v>34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.75" x14ac:dyDescent="0.5">
      <c r="A258" s="3" t="s">
        <v>233</v>
      </c>
      <c r="B258" s="3">
        <f>SUM(C258:U258)</f>
        <v>34</v>
      </c>
      <c r="C258" s="3">
        <v>0</v>
      </c>
      <c r="D258" s="3">
        <v>0</v>
      </c>
      <c r="E258" s="3">
        <f>SUM(34)</f>
        <v>34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.75" x14ac:dyDescent="0.5">
      <c r="A259" s="4" t="s">
        <v>234</v>
      </c>
      <c r="B259" s="3">
        <f>SUM(C259:U259)</f>
        <v>34</v>
      </c>
      <c r="C259" s="3">
        <v>0</v>
      </c>
      <c r="D259" s="3">
        <v>0</v>
      </c>
      <c r="E259" s="3">
        <f>SUM(34)</f>
        <v>34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.75" x14ac:dyDescent="0.5">
      <c r="A260" s="4" t="s">
        <v>235</v>
      </c>
      <c r="B260" s="3">
        <f>SUM(C260:U260)</f>
        <v>34</v>
      </c>
      <c r="C260" s="3">
        <v>0</v>
      </c>
      <c r="D260" s="3">
        <v>0</v>
      </c>
      <c r="E260" s="5"/>
      <c r="F260" s="3">
        <f>SUM(34)</f>
        <v>34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.75" x14ac:dyDescent="0.5">
      <c r="A261" s="4" t="s">
        <v>236</v>
      </c>
      <c r="B261" s="3">
        <f>SUM(C261:U261)</f>
        <v>34</v>
      </c>
      <c r="C261" s="3">
        <v>0</v>
      </c>
      <c r="D261" s="3">
        <v>0</v>
      </c>
      <c r="E261" s="5"/>
      <c r="F261" s="3">
        <f>SUM(34)</f>
        <v>34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.75" x14ac:dyDescent="0.5">
      <c r="A262" s="4" t="s">
        <v>237</v>
      </c>
      <c r="B262" s="3">
        <f>SUM(C262:U262)</f>
        <v>34</v>
      </c>
      <c r="C262" s="3">
        <v>0</v>
      </c>
      <c r="D262" s="3">
        <v>0</v>
      </c>
      <c r="E262" s="5"/>
      <c r="F262" s="3">
        <f>SUM(34)</f>
        <v>34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.75" x14ac:dyDescent="0.5">
      <c r="A263" s="4" t="s">
        <v>238</v>
      </c>
      <c r="B263" s="3">
        <f>SUM(C263:U263)</f>
        <v>34</v>
      </c>
      <c r="C263" s="3">
        <v>0</v>
      </c>
      <c r="D263" s="3">
        <v>0</v>
      </c>
      <c r="E263" s="5"/>
      <c r="F263" s="3">
        <f>SUM(34)</f>
        <v>34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.75" x14ac:dyDescent="0.5">
      <c r="A264" s="4" t="s">
        <v>239</v>
      </c>
      <c r="B264" s="3">
        <f>SUM(C264:U264)</f>
        <v>34</v>
      </c>
      <c r="C264" s="3">
        <v>0</v>
      </c>
      <c r="D264" s="3">
        <v>0</v>
      </c>
      <c r="E264" s="5"/>
      <c r="F264" s="3">
        <f>SUM(34)</f>
        <v>34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.75" x14ac:dyDescent="0.5">
      <c r="A265" s="4" t="s">
        <v>240</v>
      </c>
      <c r="B265" s="3">
        <f>SUM(C265:U265)</f>
        <v>34</v>
      </c>
      <c r="C265" s="3">
        <v>0</v>
      </c>
      <c r="D265" s="3">
        <v>0</v>
      </c>
      <c r="E265" s="5"/>
      <c r="F265" s="3">
        <f>SUM(34)</f>
        <v>34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.75" x14ac:dyDescent="0.5">
      <c r="A266" s="4" t="s">
        <v>241</v>
      </c>
      <c r="B266" s="3">
        <f>SUM(C266:U266)</f>
        <v>34</v>
      </c>
      <c r="C266" s="3">
        <v>0</v>
      </c>
      <c r="D266" s="3">
        <v>0</v>
      </c>
      <c r="E266" s="5"/>
      <c r="F266" s="3">
        <f>SUM(34)</f>
        <v>34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.75" x14ac:dyDescent="0.5">
      <c r="A267" s="4" t="s">
        <v>242</v>
      </c>
      <c r="B267" s="3">
        <f>SUM(C267:U267)</f>
        <v>34</v>
      </c>
      <c r="C267" s="3">
        <v>0</v>
      </c>
      <c r="D267" s="3">
        <v>0</v>
      </c>
      <c r="E267" s="5"/>
      <c r="F267" s="5"/>
      <c r="G267" s="5"/>
      <c r="H267" s="5"/>
      <c r="I267" s="5"/>
      <c r="J267" s="3">
        <v>34</v>
      </c>
      <c r="K267" s="5"/>
      <c r="L267" s="5"/>
      <c r="M267" s="5"/>
      <c r="N267" s="3"/>
      <c r="O267" s="3"/>
      <c r="P267" s="5"/>
      <c r="Q267" s="5"/>
      <c r="R267" s="5"/>
      <c r="S267" s="5"/>
      <c r="T267" s="5"/>
      <c r="U267" s="5"/>
    </row>
    <row r="268" spans="1:21" ht="15.75" x14ac:dyDescent="0.5">
      <c r="A268" s="4" t="s">
        <v>243</v>
      </c>
      <c r="B268" s="3">
        <f>SUM(C268:U268)</f>
        <v>34</v>
      </c>
      <c r="C268" s="3">
        <v>0</v>
      </c>
      <c r="D268" s="3">
        <v>0</v>
      </c>
      <c r="E268" s="5"/>
      <c r="F268" s="5"/>
      <c r="G268" s="5"/>
      <c r="H268" s="5"/>
      <c r="I268" s="5"/>
      <c r="J268" s="3">
        <v>34</v>
      </c>
      <c r="K268" s="5"/>
      <c r="L268" s="5"/>
      <c r="M268" s="5"/>
      <c r="N268" s="3"/>
      <c r="O268" s="3"/>
      <c r="P268" s="5"/>
      <c r="Q268" s="5"/>
      <c r="R268" s="5"/>
      <c r="S268" s="5"/>
      <c r="T268" s="5"/>
      <c r="U268" s="5"/>
    </row>
    <row r="269" spans="1:21" ht="15.75" x14ac:dyDescent="0.5">
      <c r="A269" s="3" t="s">
        <v>244</v>
      </c>
      <c r="B269" s="3">
        <f>SUM(C269:U269)</f>
        <v>34</v>
      </c>
      <c r="C269" s="3">
        <v>0</v>
      </c>
      <c r="D269" s="3">
        <v>0</v>
      </c>
      <c r="E269" s="5"/>
      <c r="F269" s="5"/>
      <c r="G269" s="5"/>
      <c r="H269" s="5"/>
      <c r="I269" s="5"/>
      <c r="J269" s="5"/>
      <c r="K269" s="5"/>
      <c r="L269" s="3">
        <v>34</v>
      </c>
      <c r="M269" s="5"/>
      <c r="N269" s="3"/>
      <c r="O269" s="3"/>
      <c r="P269" s="5"/>
      <c r="Q269" s="5"/>
      <c r="R269" s="5"/>
      <c r="S269" s="5"/>
      <c r="T269" s="5"/>
      <c r="U269" s="5"/>
    </row>
    <row r="270" spans="1:21" ht="15.75" x14ac:dyDescent="0.5">
      <c r="A270" s="3" t="s">
        <v>245</v>
      </c>
      <c r="B270" s="3">
        <f>SUM(C270:U270)</f>
        <v>34</v>
      </c>
      <c r="C270" s="3">
        <v>0</v>
      </c>
      <c r="D270" s="3">
        <v>0</v>
      </c>
      <c r="E270" s="5"/>
      <c r="F270" s="5"/>
      <c r="G270" s="5"/>
      <c r="H270" s="5"/>
      <c r="I270" s="5"/>
      <c r="J270" s="5"/>
      <c r="K270" s="5"/>
      <c r="L270" s="5"/>
      <c r="M270" s="3">
        <v>34</v>
      </c>
      <c r="N270" s="3"/>
      <c r="O270" s="3"/>
      <c r="P270" s="5"/>
      <c r="Q270" s="5"/>
      <c r="R270" s="5"/>
      <c r="S270" s="5"/>
      <c r="T270" s="5"/>
      <c r="U270" s="5"/>
    </row>
    <row r="271" spans="1:21" ht="15.75" x14ac:dyDescent="0.5">
      <c r="A271" s="3" t="s">
        <v>246</v>
      </c>
      <c r="B271" s="3">
        <f>SUM(C271:U271)</f>
        <v>33</v>
      </c>
      <c r="C271" s="3">
        <v>0</v>
      </c>
      <c r="D271" s="3">
        <v>0</v>
      </c>
      <c r="E271" s="3">
        <f>SUM(33)</f>
        <v>33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.75" x14ac:dyDescent="0.5">
      <c r="A272" s="4" t="s">
        <v>248</v>
      </c>
      <c r="B272" s="3">
        <f>SUM(C272:U272)</f>
        <v>33</v>
      </c>
      <c r="C272" s="3">
        <v>0</v>
      </c>
      <c r="D272" s="3">
        <v>0</v>
      </c>
      <c r="E272" s="5"/>
      <c r="F272" s="5"/>
      <c r="G272" s="5"/>
      <c r="H272" s="5"/>
      <c r="I272" s="5"/>
      <c r="J272" s="3">
        <v>33</v>
      </c>
      <c r="K272" s="5"/>
      <c r="L272" s="5"/>
      <c r="M272" s="5"/>
      <c r="N272" s="3"/>
      <c r="O272" s="3"/>
      <c r="P272" s="5"/>
      <c r="Q272" s="5"/>
      <c r="R272" s="5"/>
      <c r="S272" s="5"/>
      <c r="T272" s="5"/>
      <c r="U272" s="5"/>
    </row>
    <row r="273" spans="1:21" ht="15.75" x14ac:dyDescent="0.5">
      <c r="A273" s="3" t="s">
        <v>249</v>
      </c>
      <c r="B273" s="3">
        <f>SUM(C273:U273)</f>
        <v>33</v>
      </c>
      <c r="C273" s="3">
        <v>0</v>
      </c>
      <c r="D273" s="3">
        <v>0</v>
      </c>
      <c r="E273" s="5"/>
      <c r="F273" s="5"/>
      <c r="G273" s="5"/>
      <c r="H273" s="5"/>
      <c r="I273" s="5"/>
      <c r="J273" s="5"/>
      <c r="K273" s="5"/>
      <c r="L273" s="3">
        <v>33</v>
      </c>
      <c r="M273" s="5"/>
      <c r="N273" s="3"/>
      <c r="O273" s="3"/>
      <c r="P273" s="5"/>
      <c r="Q273" s="5"/>
      <c r="R273" s="5"/>
      <c r="S273" s="5"/>
      <c r="T273" s="5"/>
      <c r="U273" s="5"/>
    </row>
    <row r="274" spans="1:21" ht="15.75" x14ac:dyDescent="0.5">
      <c r="A274" s="3" t="s">
        <v>250</v>
      </c>
      <c r="B274" s="3">
        <f>SUM(C274:U274)</f>
        <v>33</v>
      </c>
      <c r="C274" s="3">
        <v>0</v>
      </c>
      <c r="D274" s="3">
        <v>0</v>
      </c>
      <c r="E274" s="5"/>
      <c r="F274" s="5"/>
      <c r="G274" s="5"/>
      <c r="H274" s="5"/>
      <c r="I274" s="5"/>
      <c r="J274" s="5"/>
      <c r="K274" s="5"/>
      <c r="L274" s="3">
        <v>33</v>
      </c>
      <c r="M274" s="5"/>
      <c r="N274" s="3"/>
      <c r="O274" s="3"/>
      <c r="P274" s="5"/>
      <c r="Q274" s="5"/>
      <c r="R274" s="5"/>
      <c r="S274" s="5"/>
      <c r="T274" s="5"/>
      <c r="U274" s="5"/>
    </row>
    <row r="275" spans="1:21" ht="15.75" x14ac:dyDescent="0.5">
      <c r="A275" s="16" t="s">
        <v>251</v>
      </c>
      <c r="B275" s="3">
        <f>SUM(C275:U275)</f>
        <v>32.799999999999997</v>
      </c>
      <c r="C275" s="3">
        <v>0</v>
      </c>
      <c r="D275" s="3">
        <f>SUM(32.8)</f>
        <v>32.799999999999997</v>
      </c>
    </row>
    <row r="276" spans="1:21" ht="15.75" x14ac:dyDescent="0.5">
      <c r="A276" s="11" t="s">
        <v>252</v>
      </c>
      <c r="B276" s="3">
        <f>SUM(C276:U276)</f>
        <v>32</v>
      </c>
      <c r="C276" s="3">
        <v>0</v>
      </c>
      <c r="D276" s="3">
        <f>SUM(32)</f>
        <v>32</v>
      </c>
    </row>
    <row r="277" spans="1:21" ht="16.45" customHeight="1" x14ac:dyDescent="0.5">
      <c r="A277" s="11" t="s">
        <v>253</v>
      </c>
      <c r="B277" s="3">
        <f>SUM(C277:U277)</f>
        <v>32</v>
      </c>
      <c r="C277" s="3">
        <v>0</v>
      </c>
      <c r="D277" s="3">
        <f>SUM(32)</f>
        <v>32</v>
      </c>
    </row>
    <row r="278" spans="1:21" ht="14.95" customHeight="1" x14ac:dyDescent="0.5">
      <c r="A278" s="11" t="s">
        <v>256</v>
      </c>
      <c r="B278" s="3">
        <f>SUM(C278:U278)</f>
        <v>32</v>
      </c>
      <c r="C278" s="3">
        <v>0</v>
      </c>
      <c r="D278" s="3">
        <f>SUM(32)</f>
        <v>32</v>
      </c>
    </row>
    <row r="279" spans="1:21" ht="19.5" customHeight="1" x14ac:dyDescent="0.5">
      <c r="A279" s="13" t="s">
        <v>258</v>
      </c>
      <c r="B279" s="3">
        <f>SUM(C279:U279)</f>
        <v>32</v>
      </c>
      <c r="C279" s="3">
        <v>0</v>
      </c>
      <c r="D279" s="3">
        <f>SUM(32)</f>
        <v>32</v>
      </c>
    </row>
    <row r="280" spans="1:21" ht="19.5" customHeight="1" x14ac:dyDescent="0.5">
      <c r="A280" s="4" t="s">
        <v>260</v>
      </c>
      <c r="B280" s="3">
        <f>SUM(C280:U280)</f>
        <v>32</v>
      </c>
      <c r="C280" s="3">
        <v>0</v>
      </c>
      <c r="D280" s="3">
        <v>0</v>
      </c>
      <c r="E280" s="5"/>
      <c r="F280" s="3">
        <f>SUM(32)</f>
        <v>32</v>
      </c>
      <c r="G280" s="5"/>
      <c r="H280" s="5"/>
      <c r="I280" s="5"/>
      <c r="J280" s="5"/>
      <c r="K280" s="5"/>
      <c r="L280" s="5"/>
      <c r="M280" s="5"/>
      <c r="N280" s="3"/>
      <c r="O280" s="3"/>
      <c r="P280" s="5"/>
      <c r="Q280" s="5"/>
      <c r="R280" s="5"/>
      <c r="S280" s="5"/>
      <c r="T280" s="5"/>
      <c r="U280" s="5"/>
    </row>
    <row r="281" spans="1:21" ht="15.75" x14ac:dyDescent="0.5">
      <c r="A281" s="4" t="s">
        <v>261</v>
      </c>
      <c r="B281" s="3">
        <f>SUM(C281:U281)</f>
        <v>32</v>
      </c>
      <c r="C281" s="3">
        <v>0</v>
      </c>
      <c r="D281" s="3">
        <v>0</v>
      </c>
      <c r="E281" s="5"/>
      <c r="F281" s="3">
        <f>SUM(32)</f>
        <v>32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.75" x14ac:dyDescent="0.5">
      <c r="A282" s="3" t="s">
        <v>263</v>
      </c>
      <c r="B282" s="3">
        <f>SUM(C282:U282)</f>
        <v>32</v>
      </c>
      <c r="C282" s="3">
        <v>0</v>
      </c>
      <c r="D282" s="3">
        <v>0</v>
      </c>
      <c r="E282" s="5"/>
      <c r="F282" s="3">
        <f>SUM(32)</f>
        <v>32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.75" x14ac:dyDescent="0.5">
      <c r="A283" s="3" t="s">
        <v>264</v>
      </c>
      <c r="B283" s="3">
        <f>SUM(C283:U283)</f>
        <v>32</v>
      </c>
      <c r="C283" s="3">
        <v>0</v>
      </c>
      <c r="D283" s="3">
        <v>0</v>
      </c>
      <c r="E283" s="5"/>
      <c r="F283" s="3">
        <f>SUM(32)</f>
        <v>32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.75" x14ac:dyDescent="0.5">
      <c r="A284" s="3" t="s">
        <v>265</v>
      </c>
      <c r="B284" s="3">
        <f>SUM(C284:U284)</f>
        <v>32</v>
      </c>
      <c r="C284" s="3">
        <v>0</v>
      </c>
      <c r="D284" s="3">
        <v>0</v>
      </c>
      <c r="E284" s="5"/>
      <c r="F284" s="5"/>
      <c r="G284" s="5"/>
      <c r="H284" s="5"/>
      <c r="I284" s="5"/>
      <c r="J284" s="5"/>
      <c r="K284" s="3">
        <v>32</v>
      </c>
      <c r="L284" s="5"/>
      <c r="M284" s="5"/>
      <c r="N284" s="3"/>
      <c r="O284" s="3"/>
      <c r="P284" s="5"/>
      <c r="Q284" s="5"/>
      <c r="R284" s="5"/>
      <c r="S284" s="5"/>
      <c r="T284" s="5"/>
      <c r="U284" s="5"/>
    </row>
    <row r="285" spans="1:21" ht="15.75" x14ac:dyDescent="0.5">
      <c r="A285" s="3" t="s">
        <v>266</v>
      </c>
      <c r="B285" s="3">
        <f>SUM(C285:U285)</f>
        <v>32</v>
      </c>
      <c r="C285" s="3">
        <v>0</v>
      </c>
      <c r="D285" s="3">
        <v>0</v>
      </c>
      <c r="E285" s="5"/>
      <c r="F285" s="5"/>
      <c r="G285" s="5"/>
      <c r="H285" s="5"/>
      <c r="I285" s="5"/>
      <c r="J285" s="5"/>
      <c r="K285" s="3">
        <v>32</v>
      </c>
      <c r="L285" s="5"/>
      <c r="M285" s="5"/>
      <c r="N285" s="3"/>
      <c r="O285" s="3"/>
      <c r="P285" s="5"/>
      <c r="Q285" s="5"/>
      <c r="R285" s="5"/>
      <c r="S285" s="5"/>
      <c r="T285" s="5"/>
      <c r="U285" s="5"/>
    </row>
    <row r="286" spans="1:21" ht="15.75" x14ac:dyDescent="0.5">
      <c r="A286" s="3" t="s">
        <v>267</v>
      </c>
      <c r="B286" s="3">
        <f>SUM(C286:U286)</f>
        <v>32</v>
      </c>
      <c r="C286" s="3">
        <v>0</v>
      </c>
      <c r="D286" s="3">
        <v>0</v>
      </c>
      <c r="E286" s="5"/>
      <c r="F286" s="5"/>
      <c r="G286" s="5"/>
      <c r="H286" s="5"/>
      <c r="I286" s="5"/>
      <c r="J286" s="5"/>
      <c r="K286" s="5"/>
      <c r="L286" s="3">
        <v>32</v>
      </c>
      <c r="M286" s="5"/>
      <c r="N286" s="3"/>
      <c r="O286" s="3"/>
      <c r="P286" s="5"/>
      <c r="Q286" s="5"/>
      <c r="R286" s="5"/>
      <c r="S286" s="5"/>
      <c r="T286" s="5"/>
      <c r="U286" s="5"/>
    </row>
    <row r="287" spans="1:21" ht="15.75" x14ac:dyDescent="0.5">
      <c r="A287" s="3" t="s">
        <v>268</v>
      </c>
      <c r="B287" s="3">
        <f>SUM(C287:U287)</f>
        <v>32</v>
      </c>
      <c r="C287" s="3">
        <v>0</v>
      </c>
      <c r="D287" s="3">
        <v>0</v>
      </c>
      <c r="E287" s="5"/>
      <c r="F287" s="5"/>
      <c r="G287" s="5"/>
      <c r="H287" s="5"/>
      <c r="I287" s="5"/>
      <c r="J287" s="5"/>
      <c r="K287" s="3">
        <v>32</v>
      </c>
      <c r="L287" s="5"/>
      <c r="M287" s="5"/>
      <c r="N287" s="3"/>
      <c r="O287" s="3"/>
      <c r="P287" s="5"/>
      <c r="Q287" s="5"/>
      <c r="R287" s="5"/>
      <c r="S287" s="5"/>
      <c r="T287" s="5"/>
      <c r="U287" s="5"/>
    </row>
    <row r="288" spans="1:21" ht="15.75" x14ac:dyDescent="0.5">
      <c r="A288" s="3" t="s">
        <v>269</v>
      </c>
      <c r="B288" s="3">
        <f>SUM(C288:U288)</f>
        <v>31.6</v>
      </c>
      <c r="C288" s="3">
        <v>0</v>
      </c>
      <c r="D288" s="3">
        <v>0</v>
      </c>
      <c r="E288" s="3">
        <f>SUM(31.6)</f>
        <v>31.6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.75" x14ac:dyDescent="0.5">
      <c r="A289" s="16" t="s">
        <v>270</v>
      </c>
      <c r="B289" s="3">
        <f>SUM(C289:U289)</f>
        <v>31</v>
      </c>
      <c r="C289" s="3">
        <v>0</v>
      </c>
      <c r="D289" s="3">
        <f>SUM(31)</f>
        <v>31</v>
      </c>
    </row>
    <row r="290" spans="1:21" ht="15.75" x14ac:dyDescent="0.5">
      <c r="A290" s="16" t="s">
        <v>271</v>
      </c>
      <c r="B290" s="3">
        <f>SUM(C290:U290)</f>
        <v>31</v>
      </c>
      <c r="C290" s="3">
        <v>0</v>
      </c>
      <c r="D290" s="3">
        <f>SUM(31)</f>
        <v>31</v>
      </c>
    </row>
    <row r="291" spans="1:21" ht="15.75" x14ac:dyDescent="0.5">
      <c r="A291" s="3" t="s">
        <v>272</v>
      </c>
      <c r="B291" s="3">
        <f>SUM(C291:U291)</f>
        <v>31</v>
      </c>
      <c r="C291" s="3">
        <v>0</v>
      </c>
      <c r="D291" s="3">
        <v>0</v>
      </c>
      <c r="E291" s="3">
        <f>SUM(31)</f>
        <v>31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.75" x14ac:dyDescent="0.5">
      <c r="A292" s="3" t="s">
        <v>273</v>
      </c>
      <c r="B292" s="3">
        <f>SUM(C292:U292)</f>
        <v>31</v>
      </c>
      <c r="C292" s="3">
        <v>0</v>
      </c>
      <c r="D292" s="3">
        <v>0</v>
      </c>
      <c r="F292" s="5"/>
      <c r="L292" s="5"/>
      <c r="M292" s="5"/>
      <c r="N292" s="3"/>
      <c r="O292" s="3">
        <v>31</v>
      </c>
    </row>
    <row r="293" spans="1:21" ht="15.75" x14ac:dyDescent="0.5">
      <c r="A293" s="15" t="s">
        <v>305</v>
      </c>
      <c r="B293" s="3">
        <f>SUM(C293:U293)</f>
        <v>30.5</v>
      </c>
      <c r="C293" s="3">
        <f>SUM(30.5)</f>
        <v>30.5</v>
      </c>
    </row>
    <row r="294" spans="1:21" ht="15.75" x14ac:dyDescent="0.5">
      <c r="A294" s="15" t="s">
        <v>306</v>
      </c>
      <c r="B294" s="3">
        <f>SUM(C294:U294)</f>
        <v>30.5</v>
      </c>
      <c r="C294" s="3">
        <f>SUM(30.5)</f>
        <v>30.5</v>
      </c>
    </row>
    <row r="295" spans="1:21" ht="15.75" x14ac:dyDescent="0.5">
      <c r="A295" s="15" t="s">
        <v>307</v>
      </c>
      <c r="B295" s="3">
        <f>SUM(C295:U295)</f>
        <v>30.5</v>
      </c>
      <c r="C295" s="3">
        <f>SUM(30.5)</f>
        <v>30.5</v>
      </c>
    </row>
    <row r="296" spans="1:21" ht="15.75" x14ac:dyDescent="0.5">
      <c r="A296" s="15" t="s">
        <v>308</v>
      </c>
      <c r="B296" s="3">
        <f>SUM(C296:U296)</f>
        <v>30.5</v>
      </c>
      <c r="C296" s="3">
        <f>SUM(30.5)</f>
        <v>30.5</v>
      </c>
    </row>
    <row r="297" spans="1:21" ht="15.75" x14ac:dyDescent="0.5">
      <c r="A297" s="15" t="s">
        <v>309</v>
      </c>
      <c r="B297" s="3">
        <f>SUM(C297:U297)</f>
        <v>30.5</v>
      </c>
      <c r="C297" s="3">
        <f>SUM(30.5)</f>
        <v>30.5</v>
      </c>
    </row>
    <row r="298" spans="1:21" ht="15.75" x14ac:dyDescent="0.5">
      <c r="A298" s="15" t="s">
        <v>310</v>
      </c>
      <c r="B298" s="3">
        <f>SUM(C298:U298)</f>
        <v>30.5</v>
      </c>
      <c r="C298" s="3">
        <f>SUM(30.5)</f>
        <v>30.5</v>
      </c>
    </row>
    <row r="299" spans="1:21" ht="15.75" x14ac:dyDescent="0.5">
      <c r="A299" s="15" t="s">
        <v>311</v>
      </c>
      <c r="B299" s="3">
        <f>SUM(C299:U299)</f>
        <v>30.5</v>
      </c>
      <c r="C299" s="3">
        <f>SUM(30.5)</f>
        <v>30.5</v>
      </c>
    </row>
    <row r="300" spans="1:21" ht="15.75" x14ac:dyDescent="0.5">
      <c r="A300" s="15" t="s">
        <v>312</v>
      </c>
      <c r="B300" s="3">
        <f>SUM(C300:U300)</f>
        <v>30.5</v>
      </c>
      <c r="C300" s="3">
        <f>SUM(30.5)</f>
        <v>30.5</v>
      </c>
    </row>
    <row r="301" spans="1:21" ht="15.75" x14ac:dyDescent="0.5">
      <c r="A301" s="15" t="s">
        <v>313</v>
      </c>
      <c r="B301" s="3">
        <f>SUM(C301:U301)</f>
        <v>30.5</v>
      </c>
      <c r="C301" s="3">
        <f>SUM(30.5)</f>
        <v>30.5</v>
      </c>
    </row>
    <row r="302" spans="1:21" ht="15.75" x14ac:dyDescent="0.5">
      <c r="A302" s="15" t="s">
        <v>314</v>
      </c>
      <c r="B302" s="3">
        <f>SUM(C302:U302)</f>
        <v>30.5</v>
      </c>
      <c r="C302" s="3">
        <f>SUM(30.5)</f>
        <v>30.5</v>
      </c>
    </row>
    <row r="303" spans="1:21" ht="15.75" x14ac:dyDescent="0.5">
      <c r="A303" s="3" t="s">
        <v>276</v>
      </c>
      <c r="B303" s="3">
        <f>SUM(C303:U303)</f>
        <v>30</v>
      </c>
      <c r="C303" s="3">
        <v>0</v>
      </c>
      <c r="D303" s="3">
        <f>SUM(30)</f>
        <v>30</v>
      </c>
    </row>
    <row r="304" spans="1:21" ht="15.75" x14ac:dyDescent="0.5">
      <c r="A304" s="3" t="s">
        <v>277</v>
      </c>
      <c r="B304" s="3">
        <f>SUM(C304:U304)</f>
        <v>30</v>
      </c>
      <c r="C304" s="3">
        <v>0</v>
      </c>
      <c r="D304" s="3">
        <v>0</v>
      </c>
      <c r="F304" s="3">
        <f>SUM(30)</f>
        <v>30</v>
      </c>
      <c r="L304" s="5"/>
      <c r="M304" s="5"/>
      <c r="N304" s="5"/>
      <c r="O304" s="5"/>
    </row>
    <row r="305" spans="1:15" ht="15.75" x14ac:dyDescent="0.5">
      <c r="A305" s="3" t="s">
        <v>278</v>
      </c>
      <c r="B305" s="3">
        <f>SUM(C305:U305)</f>
        <v>30</v>
      </c>
      <c r="C305" s="3">
        <v>0</v>
      </c>
      <c r="D305" s="3">
        <v>0</v>
      </c>
      <c r="F305" s="3">
        <f>SUM(30)</f>
        <v>30</v>
      </c>
      <c r="L305" s="5"/>
      <c r="M305" s="5"/>
      <c r="N305" s="5"/>
      <c r="O305" s="5"/>
    </row>
    <row r="306" spans="1:15" ht="15.75" x14ac:dyDescent="0.5">
      <c r="A306" s="3" t="s">
        <v>279</v>
      </c>
      <c r="B306" s="3">
        <f>SUM(C306:U306)</f>
        <v>30</v>
      </c>
      <c r="C306" s="3">
        <v>0</v>
      </c>
      <c r="D306" s="3">
        <v>0</v>
      </c>
      <c r="L306" s="5"/>
      <c r="M306" s="3">
        <v>30</v>
      </c>
      <c r="N306" s="3"/>
      <c r="O306" s="3"/>
    </row>
    <row r="307" spans="1:15" ht="15.75" x14ac:dyDescent="0.5">
      <c r="A307" s="3" t="s">
        <v>280</v>
      </c>
      <c r="B307" s="3">
        <f>SUM(C307:U307)</f>
        <v>30</v>
      </c>
      <c r="C307" s="3">
        <v>0</v>
      </c>
      <c r="D307" s="3">
        <v>0</v>
      </c>
      <c r="L307" s="5"/>
      <c r="M307" s="3">
        <v>30</v>
      </c>
      <c r="N307" s="3"/>
      <c r="O307" s="3"/>
    </row>
    <row r="308" spans="1:15" ht="15.75" x14ac:dyDescent="0.5">
      <c r="A308" s="3" t="s">
        <v>281</v>
      </c>
      <c r="B308" s="3">
        <f>SUM(C308:U308)</f>
        <v>30</v>
      </c>
      <c r="C308" s="3">
        <v>0</v>
      </c>
      <c r="D308" s="3">
        <v>0</v>
      </c>
      <c r="L308" s="3">
        <v>30</v>
      </c>
      <c r="N308" s="3"/>
      <c r="O308" s="3"/>
    </row>
    <row r="309" spans="1:15" ht="15.75" x14ac:dyDescent="0.5">
      <c r="A309" s="3" t="s">
        <v>282</v>
      </c>
      <c r="B309" s="3">
        <f>SUM(C309:U309)</f>
        <v>30</v>
      </c>
      <c r="C309" s="3">
        <v>0</v>
      </c>
      <c r="D309" s="3">
        <v>0</v>
      </c>
      <c r="L309" s="3">
        <v>30</v>
      </c>
      <c r="N309" s="3"/>
      <c r="O309" s="3"/>
    </row>
    <row r="310" spans="1:15" ht="15.75" x14ac:dyDescent="0.5">
      <c r="A310" s="15" t="s">
        <v>291</v>
      </c>
      <c r="B310" s="3">
        <f>SUM(C310:U310)</f>
        <v>30</v>
      </c>
      <c r="C310" s="3">
        <f>SUM(30)</f>
        <v>30</v>
      </c>
    </row>
    <row r="311" spans="1:15" ht="15.75" x14ac:dyDescent="0.5">
      <c r="A311" s="15" t="s">
        <v>298</v>
      </c>
      <c r="B311" s="3">
        <f>SUM(C311:U311)</f>
        <v>30</v>
      </c>
      <c r="C311" s="3">
        <f>SUM(30)</f>
        <v>30</v>
      </c>
    </row>
    <row r="312" spans="1:15" ht="15.75" x14ac:dyDescent="0.5">
      <c r="A312" s="15" t="s">
        <v>299</v>
      </c>
      <c r="B312" s="3">
        <f>SUM(C312:U312)</f>
        <v>30</v>
      </c>
      <c r="C312" s="3">
        <f>SUM(30)</f>
        <v>30</v>
      </c>
    </row>
    <row r="313" spans="1:15" ht="15.75" x14ac:dyDescent="0.5">
      <c r="A313" s="15" t="s">
        <v>302</v>
      </c>
      <c r="B313" s="3">
        <f>SUM(C313:U313)</f>
        <v>30</v>
      </c>
      <c r="C313" s="3">
        <f>SUM(30)</f>
        <v>30</v>
      </c>
    </row>
    <row r="314" spans="1:15" ht="15.75" x14ac:dyDescent="0.5">
      <c r="A314" s="15" t="s">
        <v>303</v>
      </c>
      <c r="B314" s="3">
        <f>SUM(C314:U314)</f>
        <v>30</v>
      </c>
      <c r="C314" s="3">
        <f>SUM(30)</f>
        <v>30</v>
      </c>
    </row>
    <row r="315" spans="1:15" ht="15.75" x14ac:dyDescent="0.5">
      <c r="A315" s="15" t="s">
        <v>304</v>
      </c>
      <c r="B315" s="3">
        <f>SUM(C315:U315)</f>
        <v>30</v>
      </c>
      <c r="C315" s="3">
        <f>SUM(30)</f>
        <v>30</v>
      </c>
    </row>
    <row r="316" spans="1:15" ht="15.75" x14ac:dyDescent="0.5">
      <c r="A316" s="15"/>
      <c r="B316" s="3">
        <f>SUM(C316:U316)</f>
        <v>0</v>
      </c>
      <c r="C316" s="3">
        <v>0</v>
      </c>
    </row>
    <row r="317" spans="1:15" ht="15.75" x14ac:dyDescent="0.5">
      <c r="A317" s="15"/>
      <c r="B317" s="3">
        <f>SUM(C317:U317)</f>
        <v>0</v>
      </c>
      <c r="C317" s="3">
        <v>0</v>
      </c>
    </row>
    <row r="318" spans="1:15" ht="15.75" x14ac:dyDescent="0.5">
      <c r="A318" s="15"/>
      <c r="B318" s="3">
        <f>SUM(C318:U318)</f>
        <v>0</v>
      </c>
      <c r="C318" s="3">
        <v>0</v>
      </c>
    </row>
    <row r="319" spans="1:15" ht="15.75" x14ac:dyDescent="0.5">
      <c r="A319" s="15"/>
      <c r="B319" s="3">
        <f>SUM(C319:U319)</f>
        <v>0</v>
      </c>
      <c r="C319" s="3">
        <v>0</v>
      </c>
    </row>
    <row r="320" spans="1:15" ht="15.75" x14ac:dyDescent="0.5">
      <c r="A320" s="15"/>
      <c r="B320" s="3">
        <f>SUM(C320:U320)</f>
        <v>0</v>
      </c>
      <c r="C320" s="3">
        <v>0</v>
      </c>
    </row>
    <row r="321" spans="1:3" ht="15.75" x14ac:dyDescent="0.5">
      <c r="A321" s="15"/>
      <c r="B321" s="3">
        <f>SUM(C321:U321)</f>
        <v>0</v>
      </c>
      <c r="C321" s="3">
        <v>0</v>
      </c>
    </row>
    <row r="322" spans="1:3" ht="15.75" x14ac:dyDescent="0.5">
      <c r="A322" s="15"/>
      <c r="B322" s="3">
        <f>SUM(C322:U322)</f>
        <v>0</v>
      </c>
      <c r="C322" s="3">
        <v>0</v>
      </c>
    </row>
    <row r="323" spans="1:3" ht="15.75" x14ac:dyDescent="0.5">
      <c r="A323" s="15"/>
      <c r="B323" s="3">
        <f>SUM(C323:U323)</f>
        <v>0</v>
      </c>
      <c r="C323" s="3">
        <v>0</v>
      </c>
    </row>
    <row r="324" spans="1:3" ht="15.75" x14ac:dyDescent="0.5">
      <c r="C324" s="3">
        <v>0</v>
      </c>
    </row>
    <row r="325" spans="1:3" ht="15.75" x14ac:dyDescent="0.5">
      <c r="C325" s="3">
        <v>0</v>
      </c>
    </row>
    <row r="326" spans="1:3" ht="15.75" x14ac:dyDescent="0.5">
      <c r="C326" s="3">
        <v>0</v>
      </c>
    </row>
    <row r="327" spans="1:3" ht="15.75" x14ac:dyDescent="0.5">
      <c r="C327" s="3">
        <v>0</v>
      </c>
    </row>
    <row r="328" spans="1:3" ht="14.25" x14ac:dyDescent="0.45">
      <c r="A328" s="6" t="s">
        <v>315</v>
      </c>
    </row>
  </sheetData>
  <sortState ref="A2:U328">
    <sortCondition descending="1" ref="B1"/>
  </sortState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Maldre</dc:creator>
  <cp:lastModifiedBy>Lauri Maldre</cp:lastModifiedBy>
  <cp:revision>42</cp:revision>
  <dcterms:created xsi:type="dcterms:W3CDTF">2017-11-21T20:59:40Z</dcterms:created>
  <dcterms:modified xsi:type="dcterms:W3CDTF">2017-11-21T20:59:40Z</dcterms:modified>
</cp:coreProperties>
</file>