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i\Documents\"/>
    </mc:Choice>
  </mc:AlternateContent>
  <bookViews>
    <workbookView xWindow="0" yWindow="0" windowWidth="24000" windowHeight="9285"/>
  </bookViews>
  <sheets>
    <sheet name="Sheet1" sheetId="1" r:id="rId1"/>
  </sheets>
  <calcPr calcId="171027" fullCalcOnLoad="1" iterateDelta="1E-4"/>
</workbook>
</file>

<file path=xl/calcChain.xml><?xml version="1.0" encoding="utf-8"?>
<calcChain xmlns="http://schemas.openxmlformats.org/spreadsheetml/2006/main">
  <c r="B309" i="1" l="1"/>
  <c r="B308" i="1"/>
  <c r="B307" i="1"/>
  <c r="B306" i="1"/>
  <c r="B305" i="1"/>
  <c r="B304" i="1"/>
  <c r="B303" i="1"/>
  <c r="B302" i="1"/>
  <c r="B301" i="1"/>
  <c r="B300" i="1"/>
  <c r="B299" i="1"/>
  <c r="B298" i="1"/>
  <c r="B297" i="1"/>
  <c r="C296" i="1"/>
  <c r="B296" i="1"/>
  <c r="F295" i="1"/>
  <c r="E295" i="1"/>
  <c r="D295" i="1"/>
  <c r="C295" i="1"/>
  <c r="B295" i="1" s="1"/>
  <c r="C294" i="1"/>
  <c r="B294" i="1" s="1"/>
  <c r="C293" i="1"/>
  <c r="B293" i="1"/>
  <c r="C292" i="1"/>
  <c r="B292" i="1"/>
  <c r="D291" i="1"/>
  <c r="C291" i="1"/>
  <c r="B291" i="1" s="1"/>
  <c r="C290" i="1"/>
  <c r="B290" i="1" s="1"/>
  <c r="C289" i="1"/>
  <c r="B289" i="1"/>
  <c r="C288" i="1"/>
  <c r="B288" i="1"/>
  <c r="C287" i="1"/>
  <c r="B287" i="1"/>
  <c r="C286" i="1"/>
  <c r="B286" i="1"/>
  <c r="D285" i="1"/>
  <c r="C285" i="1"/>
  <c r="B285" i="1" s="1"/>
  <c r="C284" i="1"/>
  <c r="B284" i="1" s="1"/>
  <c r="C283" i="1"/>
  <c r="B283" i="1" s="1"/>
  <c r="C282" i="1"/>
  <c r="B282" i="1" s="1"/>
  <c r="B281" i="1"/>
  <c r="B280" i="1"/>
  <c r="B279" i="1"/>
  <c r="B278" i="1"/>
  <c r="F277" i="1"/>
  <c r="B277" i="1" s="1"/>
  <c r="F276" i="1"/>
  <c r="B276" i="1" s="1"/>
  <c r="D275" i="1"/>
  <c r="B275" i="1" s="1"/>
  <c r="D274" i="1"/>
  <c r="C274" i="1"/>
  <c r="B274" i="1"/>
  <c r="D273" i="1"/>
  <c r="C273" i="1"/>
  <c r="B273" i="1" s="1"/>
  <c r="B272" i="1"/>
  <c r="E271" i="1"/>
  <c r="B271" i="1" s="1"/>
  <c r="D270" i="1"/>
  <c r="B270" i="1"/>
  <c r="D269" i="1"/>
  <c r="B269" i="1" s="1"/>
  <c r="E268" i="1"/>
  <c r="B268" i="1"/>
  <c r="B267" i="1"/>
  <c r="B266" i="1"/>
  <c r="B265" i="1"/>
  <c r="B264" i="1"/>
  <c r="F263" i="1"/>
  <c r="B263" i="1" s="1"/>
  <c r="F262" i="1"/>
  <c r="B262" i="1"/>
  <c r="C261" i="1"/>
  <c r="B261" i="1" s="1"/>
  <c r="F260" i="1"/>
  <c r="B260" i="1"/>
  <c r="F259" i="1"/>
  <c r="B259" i="1"/>
  <c r="D258" i="1"/>
  <c r="C258" i="1"/>
  <c r="B258" i="1" s="1"/>
  <c r="D257" i="1"/>
  <c r="B257" i="1" s="1"/>
  <c r="D256" i="1"/>
  <c r="B256" i="1" s="1"/>
  <c r="C256" i="1"/>
  <c r="D255" i="1"/>
  <c r="B255" i="1"/>
  <c r="D254" i="1"/>
  <c r="C254" i="1"/>
  <c r="B254" i="1" s="1"/>
  <c r="D253" i="1"/>
  <c r="B253" i="1" s="1"/>
  <c r="C253" i="1"/>
  <c r="D252" i="1"/>
  <c r="B252" i="1"/>
  <c r="D251" i="1"/>
  <c r="B251" i="1"/>
  <c r="D250" i="1"/>
  <c r="B250" i="1"/>
  <c r="B249" i="1"/>
  <c r="B248" i="1"/>
  <c r="B247" i="1"/>
  <c r="E246" i="1"/>
  <c r="C246" i="1"/>
  <c r="B246" i="1" s="1"/>
  <c r="E245" i="1"/>
  <c r="B245" i="1"/>
  <c r="B244" i="1"/>
  <c r="B243" i="1"/>
  <c r="B242" i="1"/>
  <c r="B241" i="1"/>
  <c r="F240" i="1"/>
  <c r="B240" i="1"/>
  <c r="F239" i="1"/>
  <c r="B239" i="1"/>
  <c r="F238" i="1"/>
  <c r="B238" i="1"/>
  <c r="F237" i="1"/>
  <c r="B237" i="1"/>
  <c r="F236" i="1"/>
  <c r="B236" i="1"/>
  <c r="F235" i="1"/>
  <c r="B235" i="1"/>
  <c r="F234" i="1"/>
  <c r="B234" i="1"/>
  <c r="E233" i="1"/>
  <c r="B233" i="1"/>
  <c r="E232" i="1"/>
  <c r="B232" i="1"/>
  <c r="E231" i="1"/>
  <c r="B231" i="1"/>
  <c r="E230" i="1"/>
  <c r="B230" i="1"/>
  <c r="D229" i="1"/>
  <c r="B229" i="1"/>
  <c r="D228" i="1"/>
  <c r="B228" i="1"/>
  <c r="B227" i="1"/>
  <c r="B226" i="1"/>
  <c r="B225" i="1"/>
  <c r="E224" i="1"/>
  <c r="B224" i="1" s="1"/>
  <c r="F223" i="1"/>
  <c r="B223" i="1" s="1"/>
  <c r="B222" i="1"/>
  <c r="B221" i="1"/>
  <c r="B220" i="1"/>
  <c r="F219" i="1"/>
  <c r="B219" i="1"/>
  <c r="F218" i="1"/>
  <c r="B218" i="1"/>
  <c r="E217" i="1"/>
  <c r="B217" i="1"/>
  <c r="B216" i="1"/>
  <c r="B215" i="1"/>
  <c r="D214" i="1"/>
  <c r="B214" i="1"/>
  <c r="B213" i="1"/>
  <c r="B212" i="1"/>
  <c r="B211" i="1"/>
  <c r="B210" i="1"/>
  <c r="B209" i="1"/>
  <c r="E208" i="1"/>
  <c r="B208" i="1" s="1"/>
  <c r="E207" i="1"/>
  <c r="B207" i="1" s="1"/>
  <c r="B206" i="1"/>
  <c r="B205" i="1"/>
  <c r="B204" i="1"/>
  <c r="B203" i="1"/>
  <c r="B202" i="1"/>
  <c r="B201" i="1"/>
  <c r="F200" i="1"/>
  <c r="B200" i="1" s="1"/>
  <c r="F199" i="1"/>
  <c r="B199" i="1" s="1"/>
  <c r="C199" i="1"/>
  <c r="E198" i="1"/>
  <c r="B198" i="1"/>
  <c r="F197" i="1"/>
  <c r="E197" i="1"/>
  <c r="B197" i="1" s="1"/>
  <c r="B196" i="1"/>
  <c r="F195" i="1"/>
  <c r="D195" i="1"/>
  <c r="B195" i="1" s="1"/>
  <c r="F194" i="1"/>
  <c r="B194" i="1" s="1"/>
  <c r="D194" i="1"/>
  <c r="D193" i="1"/>
  <c r="B193" i="1"/>
  <c r="D192" i="1"/>
  <c r="B192" i="1"/>
  <c r="D191" i="1"/>
  <c r="B191" i="1"/>
  <c r="B190" i="1"/>
  <c r="E189" i="1"/>
  <c r="B189" i="1" s="1"/>
  <c r="E188" i="1"/>
  <c r="B188" i="1" s="1"/>
  <c r="B187" i="1"/>
  <c r="D186" i="1"/>
  <c r="C186" i="1"/>
  <c r="B186" i="1" s="1"/>
  <c r="D185" i="1"/>
  <c r="C185" i="1"/>
  <c r="B185" i="1"/>
  <c r="B184" i="1"/>
  <c r="D183" i="1"/>
  <c r="B183" i="1"/>
  <c r="B182" i="1"/>
  <c r="D181" i="1"/>
  <c r="B181" i="1" s="1"/>
  <c r="B180" i="1"/>
  <c r="F179" i="1"/>
  <c r="B179" i="1" s="1"/>
  <c r="D178" i="1"/>
  <c r="B178" i="1"/>
  <c r="F177" i="1"/>
  <c r="D177" i="1"/>
  <c r="B177" i="1" s="1"/>
  <c r="E176" i="1"/>
  <c r="B176" i="1"/>
  <c r="F175" i="1"/>
  <c r="B175" i="1"/>
  <c r="E174" i="1"/>
  <c r="B174" i="1"/>
  <c r="B173" i="1"/>
  <c r="F172" i="1"/>
  <c r="B172" i="1" s="1"/>
  <c r="D171" i="1"/>
  <c r="C171" i="1"/>
  <c r="B171" i="1" s="1"/>
  <c r="B170" i="1"/>
  <c r="F169" i="1"/>
  <c r="E169" i="1"/>
  <c r="B169" i="1" s="1"/>
  <c r="E168" i="1"/>
  <c r="B168" i="1"/>
  <c r="B167" i="1"/>
  <c r="B166" i="1"/>
  <c r="D165" i="1"/>
  <c r="B165" i="1"/>
  <c r="D164" i="1"/>
  <c r="B164" i="1" s="1"/>
  <c r="E163" i="1"/>
  <c r="D163" i="1"/>
  <c r="B163" i="1" s="1"/>
  <c r="C163" i="1"/>
  <c r="B162" i="1"/>
  <c r="B161" i="1"/>
  <c r="E160" i="1"/>
  <c r="D160" i="1"/>
  <c r="B160" i="1"/>
  <c r="F159" i="1"/>
  <c r="B159" i="1" s="1"/>
  <c r="E158" i="1"/>
  <c r="C158" i="1"/>
  <c r="B158" i="1"/>
  <c r="B157" i="1"/>
  <c r="B156" i="1"/>
  <c r="D155" i="1"/>
  <c r="B155" i="1"/>
  <c r="B154" i="1"/>
  <c r="D153" i="1"/>
  <c r="C153" i="1"/>
  <c r="B153" i="1"/>
  <c r="E152" i="1"/>
  <c r="B152" i="1" s="1"/>
  <c r="F151" i="1"/>
  <c r="D151" i="1"/>
  <c r="C151" i="1"/>
  <c r="B151" i="1" s="1"/>
  <c r="B150" i="1"/>
  <c r="E149" i="1"/>
  <c r="D149" i="1"/>
  <c r="C149" i="1"/>
  <c r="B149" i="1" s="1"/>
  <c r="B148" i="1"/>
  <c r="E147" i="1"/>
  <c r="D147" i="1"/>
  <c r="C147" i="1"/>
  <c r="B147" i="1"/>
  <c r="E146" i="1"/>
  <c r="B146" i="1"/>
  <c r="D145" i="1"/>
  <c r="B145" i="1"/>
  <c r="D144" i="1"/>
  <c r="B144" i="1"/>
  <c r="D143" i="1"/>
  <c r="B143" i="1"/>
  <c r="E142" i="1"/>
  <c r="D142" i="1"/>
  <c r="B142" i="1" s="1"/>
  <c r="E141" i="1"/>
  <c r="B141" i="1" s="1"/>
  <c r="D140" i="1"/>
  <c r="C140" i="1"/>
  <c r="B140" i="1"/>
  <c r="E139" i="1"/>
  <c r="D139" i="1"/>
  <c r="C139" i="1"/>
  <c r="B139" i="1"/>
  <c r="E138" i="1"/>
  <c r="B138" i="1"/>
  <c r="D137" i="1"/>
  <c r="C137" i="1"/>
  <c r="B137" i="1" s="1"/>
  <c r="E136" i="1"/>
  <c r="D136" i="1"/>
  <c r="C136" i="1"/>
  <c r="B136" i="1" s="1"/>
  <c r="D135" i="1"/>
  <c r="B135" i="1" s="1"/>
  <c r="E134" i="1"/>
  <c r="B134" i="1" s="1"/>
  <c r="E133" i="1"/>
  <c r="B133" i="1" s="1"/>
  <c r="B132" i="1"/>
  <c r="F131" i="1"/>
  <c r="B131" i="1"/>
  <c r="F130" i="1"/>
  <c r="E130" i="1"/>
  <c r="B130" i="1" s="1"/>
  <c r="D130" i="1"/>
  <c r="E129" i="1"/>
  <c r="B129" i="1"/>
  <c r="F128" i="1"/>
  <c r="B128" i="1"/>
  <c r="C127" i="1"/>
  <c r="B127" i="1"/>
  <c r="D126" i="1"/>
  <c r="C126" i="1"/>
  <c r="B126" i="1" s="1"/>
  <c r="F125" i="1"/>
  <c r="B125" i="1" s="1"/>
  <c r="B124" i="1"/>
  <c r="B123" i="1"/>
  <c r="F122" i="1"/>
  <c r="B122" i="1" s="1"/>
  <c r="E122" i="1"/>
  <c r="F121" i="1"/>
  <c r="B121" i="1"/>
  <c r="E120" i="1"/>
  <c r="D120" i="1"/>
  <c r="B120" i="1" s="1"/>
  <c r="B119" i="1"/>
  <c r="F118" i="1"/>
  <c r="B118" i="1"/>
  <c r="B117" i="1"/>
  <c r="F116" i="1"/>
  <c r="E116" i="1"/>
  <c r="D116" i="1"/>
  <c r="B116" i="1" s="1"/>
  <c r="B115" i="1"/>
  <c r="B114" i="1"/>
  <c r="B113" i="1"/>
  <c r="B112" i="1"/>
  <c r="F111" i="1"/>
  <c r="E111" i="1"/>
  <c r="D111" i="1"/>
  <c r="B111" i="1" s="1"/>
  <c r="B110" i="1"/>
  <c r="E109" i="1"/>
  <c r="D109" i="1"/>
  <c r="B109" i="1" s="1"/>
  <c r="E108" i="1"/>
  <c r="B108" i="1" s="1"/>
  <c r="E107" i="1"/>
  <c r="D107" i="1"/>
  <c r="B107" i="1"/>
  <c r="D106" i="1"/>
  <c r="C106" i="1"/>
  <c r="B106" i="1" s="1"/>
  <c r="B105" i="1"/>
  <c r="D104" i="1"/>
  <c r="C104" i="1"/>
  <c r="B104" i="1" s="1"/>
  <c r="E103" i="1"/>
  <c r="B103" i="1" s="1"/>
  <c r="E102" i="1"/>
  <c r="D102" i="1"/>
  <c r="B102" i="1"/>
  <c r="F101" i="1"/>
  <c r="B101" i="1"/>
  <c r="F100" i="1"/>
  <c r="E100" i="1"/>
  <c r="B100" i="1" s="1"/>
  <c r="D100" i="1"/>
  <c r="F99" i="1"/>
  <c r="D99" i="1"/>
  <c r="B99" i="1" s="1"/>
  <c r="B98" i="1"/>
  <c r="F97" i="1"/>
  <c r="E97" i="1"/>
  <c r="B97" i="1" s="1"/>
  <c r="D97" i="1"/>
  <c r="F96" i="1"/>
  <c r="B96" i="1"/>
  <c r="F95" i="1"/>
  <c r="E95" i="1"/>
  <c r="D95" i="1"/>
  <c r="C95" i="1"/>
  <c r="B95" i="1" s="1"/>
  <c r="F94" i="1"/>
  <c r="E94" i="1"/>
  <c r="D94" i="1"/>
  <c r="B94" i="1" s="1"/>
  <c r="C94" i="1"/>
  <c r="E93" i="1"/>
  <c r="D93" i="1"/>
  <c r="B93" i="1" s="1"/>
  <c r="E92" i="1"/>
  <c r="D92" i="1"/>
  <c r="C92" i="1"/>
  <c r="B92" i="1" s="1"/>
  <c r="D91" i="1"/>
  <c r="C91" i="1"/>
  <c r="B91" i="1"/>
  <c r="B90" i="1"/>
  <c r="D89" i="1"/>
  <c r="B89" i="1" s="1"/>
  <c r="B88" i="1"/>
  <c r="B87" i="1"/>
  <c r="D86" i="1"/>
  <c r="B86" i="1" s="1"/>
  <c r="E85" i="1"/>
  <c r="B85" i="1" s="1"/>
  <c r="D85" i="1"/>
  <c r="D84" i="1"/>
  <c r="B84" i="1"/>
  <c r="F83" i="1"/>
  <c r="E83" i="1"/>
  <c r="D83" i="1"/>
  <c r="B83" i="1"/>
  <c r="F82" i="1"/>
  <c r="E82" i="1"/>
  <c r="D82" i="1"/>
  <c r="B82" i="1"/>
  <c r="F81" i="1"/>
  <c r="E81" i="1"/>
  <c r="D81" i="1"/>
  <c r="B81" i="1"/>
  <c r="F80" i="1"/>
  <c r="B80" i="1"/>
  <c r="E79" i="1"/>
  <c r="D79" i="1"/>
  <c r="B79" i="1" s="1"/>
  <c r="C79" i="1"/>
  <c r="B78" i="1"/>
  <c r="F77" i="1"/>
  <c r="E77" i="1"/>
  <c r="D77" i="1"/>
  <c r="B77" i="1" s="1"/>
  <c r="B76" i="1"/>
  <c r="F75" i="1"/>
  <c r="B75" i="1"/>
  <c r="F74" i="1"/>
  <c r="E74" i="1"/>
  <c r="D74" i="1"/>
  <c r="C74" i="1"/>
  <c r="B74" i="1" s="1"/>
  <c r="F73" i="1"/>
  <c r="B73" i="1" s="1"/>
  <c r="E73" i="1"/>
  <c r="B72" i="1"/>
  <c r="F71" i="1"/>
  <c r="B71" i="1" s="1"/>
  <c r="E70" i="1"/>
  <c r="D70" i="1"/>
  <c r="B70" i="1"/>
  <c r="F69" i="1"/>
  <c r="E69" i="1"/>
  <c r="D69" i="1"/>
  <c r="B69" i="1"/>
  <c r="E68" i="1"/>
  <c r="D68" i="1"/>
  <c r="C68" i="1"/>
  <c r="B68" i="1"/>
  <c r="B67" i="1"/>
  <c r="E66" i="1"/>
  <c r="C66" i="1"/>
  <c r="B66" i="1"/>
  <c r="B65" i="1"/>
  <c r="D64" i="1"/>
  <c r="C64" i="1"/>
  <c r="B64" i="1"/>
  <c r="F63" i="1"/>
  <c r="E63" i="1"/>
  <c r="D63" i="1"/>
  <c r="C63" i="1"/>
  <c r="B63" i="1" s="1"/>
  <c r="B62" i="1"/>
  <c r="F61" i="1"/>
  <c r="D61" i="1"/>
  <c r="C61" i="1"/>
  <c r="B61" i="1" s="1"/>
  <c r="E60" i="1"/>
  <c r="D60" i="1"/>
  <c r="B60" i="1" s="1"/>
  <c r="B59" i="1"/>
  <c r="B58" i="1"/>
  <c r="B57" i="1"/>
  <c r="F56" i="1"/>
  <c r="E56" i="1"/>
  <c r="D56" i="1"/>
  <c r="C56" i="1"/>
  <c r="B56" i="1" s="1"/>
  <c r="B55" i="1"/>
  <c r="E54" i="1"/>
  <c r="D54" i="1"/>
  <c r="C54" i="1"/>
  <c r="B54" i="1" s="1"/>
  <c r="F53" i="1"/>
  <c r="E53" i="1"/>
  <c r="D53" i="1"/>
  <c r="C53" i="1"/>
  <c r="B53" i="1" s="1"/>
  <c r="B52" i="1"/>
  <c r="F51" i="1"/>
  <c r="E51" i="1"/>
  <c r="D51" i="1"/>
  <c r="C51" i="1"/>
  <c r="B51" i="1" s="1"/>
  <c r="E50" i="1"/>
  <c r="D50" i="1"/>
  <c r="C50" i="1"/>
  <c r="B50" i="1" s="1"/>
  <c r="F49" i="1"/>
  <c r="E49" i="1"/>
  <c r="D49" i="1"/>
  <c r="C49" i="1"/>
  <c r="B49" i="1" s="1"/>
  <c r="F48" i="1"/>
  <c r="E48" i="1"/>
  <c r="D48" i="1"/>
  <c r="B48" i="1" s="1"/>
  <c r="C48" i="1"/>
  <c r="F47" i="1"/>
  <c r="E47" i="1"/>
  <c r="D47" i="1"/>
  <c r="C47" i="1"/>
  <c r="B47" i="1"/>
  <c r="E46" i="1"/>
  <c r="D46" i="1"/>
  <c r="B46" i="1"/>
  <c r="F45" i="1"/>
  <c r="B45" i="1" s="1"/>
  <c r="E44" i="1"/>
  <c r="D44" i="1"/>
  <c r="C44" i="1"/>
  <c r="B44" i="1" s="1"/>
  <c r="F43" i="1"/>
  <c r="D43" i="1"/>
  <c r="B43" i="1"/>
  <c r="B42" i="1"/>
  <c r="F41" i="1"/>
  <c r="E41" i="1"/>
  <c r="D41" i="1"/>
  <c r="B41" i="1" s="1"/>
  <c r="F40" i="1"/>
  <c r="E40" i="1"/>
  <c r="D40" i="1"/>
  <c r="B40" i="1" s="1"/>
  <c r="F39" i="1"/>
  <c r="B39" i="1"/>
  <c r="F38" i="1"/>
  <c r="B38" i="1" s="1"/>
  <c r="D37" i="1"/>
  <c r="C37" i="1"/>
  <c r="B37" i="1"/>
  <c r="F36" i="1"/>
  <c r="E36" i="1"/>
  <c r="D36" i="1"/>
  <c r="C36" i="1"/>
  <c r="B36" i="1" s="1"/>
  <c r="F35" i="1"/>
  <c r="E35" i="1"/>
  <c r="D35" i="1"/>
  <c r="C35" i="1"/>
  <c r="B35" i="1" s="1"/>
  <c r="F34" i="1"/>
  <c r="E34" i="1"/>
  <c r="D34" i="1"/>
  <c r="B34" i="1" s="1"/>
  <c r="F33" i="1"/>
  <c r="E33" i="1"/>
  <c r="B33" i="1" s="1"/>
  <c r="D33" i="1"/>
  <c r="C33" i="1"/>
  <c r="F32" i="1"/>
  <c r="E32" i="1"/>
  <c r="D32" i="1"/>
  <c r="C32" i="1"/>
  <c r="B32" i="1"/>
  <c r="F31" i="1"/>
  <c r="E31" i="1"/>
  <c r="D31" i="1"/>
  <c r="C31" i="1"/>
  <c r="B31" i="1" s="1"/>
  <c r="F30" i="1"/>
  <c r="E30" i="1"/>
  <c r="D30" i="1"/>
  <c r="C30" i="1"/>
  <c r="B30" i="1" s="1"/>
  <c r="E29" i="1"/>
  <c r="C29" i="1"/>
  <c r="B29" i="1" s="1"/>
  <c r="B28" i="1"/>
  <c r="H27" i="1"/>
  <c r="G27" i="1"/>
  <c r="B27" i="1" s="1"/>
  <c r="F27" i="1"/>
  <c r="E27" i="1"/>
  <c r="F26" i="1"/>
  <c r="B26" i="1" s="1"/>
  <c r="E26" i="1"/>
  <c r="D26" i="1"/>
  <c r="C26" i="1"/>
  <c r="F25" i="1"/>
  <c r="E25" i="1"/>
  <c r="D25" i="1"/>
  <c r="C25" i="1"/>
  <c r="B25" i="1" s="1"/>
  <c r="F24" i="1"/>
  <c r="E24" i="1"/>
  <c r="D24" i="1"/>
  <c r="B24" i="1" s="1"/>
  <c r="C24" i="1"/>
  <c r="F23" i="1"/>
  <c r="E23" i="1"/>
  <c r="B23" i="1" s="1"/>
  <c r="D23" i="1"/>
  <c r="C23" i="1"/>
  <c r="F22" i="1"/>
  <c r="E22" i="1"/>
  <c r="D22" i="1"/>
  <c r="C22" i="1"/>
  <c r="B22" i="1"/>
  <c r="F21" i="1"/>
  <c r="E21" i="1"/>
  <c r="D21" i="1"/>
  <c r="C21" i="1"/>
  <c r="B21" i="1" s="1"/>
  <c r="F20" i="1"/>
  <c r="E20" i="1"/>
  <c r="D20" i="1"/>
  <c r="B20" i="1" s="1"/>
  <c r="F19" i="1"/>
  <c r="E19" i="1"/>
  <c r="D19" i="1"/>
  <c r="C19" i="1"/>
  <c r="B19" i="1" s="1"/>
  <c r="B18" i="1"/>
  <c r="F17" i="1"/>
  <c r="B17" i="1" s="1"/>
  <c r="E17" i="1"/>
  <c r="D17" i="1"/>
  <c r="C17" i="1"/>
  <c r="F16" i="1"/>
  <c r="D16" i="1"/>
  <c r="C16" i="1"/>
  <c r="B16" i="1"/>
  <c r="F15" i="1"/>
  <c r="E15" i="1"/>
  <c r="D15" i="1"/>
  <c r="C15" i="1"/>
  <c r="B15" i="1" s="1"/>
  <c r="F14" i="1"/>
  <c r="E14" i="1"/>
  <c r="D14" i="1"/>
  <c r="C14" i="1"/>
  <c r="B14" i="1" s="1"/>
  <c r="E13" i="1"/>
  <c r="D13" i="1"/>
  <c r="C13" i="1"/>
  <c r="B13" i="1" s="1"/>
  <c r="F12" i="1"/>
  <c r="E12" i="1"/>
  <c r="B12" i="1" s="1"/>
  <c r="D12" i="1"/>
  <c r="C12" i="1"/>
  <c r="F11" i="1"/>
  <c r="E11" i="1"/>
  <c r="D11" i="1"/>
  <c r="C11" i="1"/>
  <c r="B11" i="1"/>
  <c r="F10" i="1"/>
  <c r="E10" i="1"/>
  <c r="D10" i="1"/>
  <c r="C10" i="1"/>
  <c r="B10" i="1" s="1"/>
  <c r="B9" i="1"/>
  <c r="F8" i="1"/>
  <c r="E8" i="1"/>
  <c r="B8" i="1" s="1"/>
  <c r="D8" i="1"/>
  <c r="C8" i="1"/>
  <c r="F7" i="1"/>
  <c r="E7" i="1"/>
  <c r="D7" i="1"/>
  <c r="C7" i="1"/>
  <c r="B7" i="1"/>
  <c r="F6" i="1"/>
  <c r="E6" i="1"/>
  <c r="D6" i="1"/>
  <c r="C6" i="1"/>
  <c r="B6" i="1" s="1"/>
  <c r="F5" i="1"/>
  <c r="E5" i="1"/>
  <c r="D5" i="1"/>
  <c r="B5" i="1" s="1"/>
  <c r="C5" i="1"/>
  <c r="F4" i="1"/>
  <c r="E4" i="1"/>
  <c r="B4" i="1" s="1"/>
  <c r="D4" i="1"/>
  <c r="C4" i="1"/>
  <c r="F3" i="1"/>
  <c r="E3" i="1"/>
  <c r="D3" i="1"/>
  <c r="C3" i="1"/>
  <c r="B3" i="1"/>
  <c r="F2" i="1"/>
  <c r="E2" i="1"/>
  <c r="D2" i="1"/>
  <c r="C2" i="1"/>
  <c r="B2" i="1" s="1"/>
</calcChain>
</file>

<file path=xl/sharedStrings.xml><?xml version="1.0" encoding="utf-8"?>
<sst xmlns="http://schemas.openxmlformats.org/spreadsheetml/2006/main" count="299" uniqueCount="297">
  <si>
    <t>Ratsanik</t>
  </si>
  <si>
    <t>km kokku</t>
  </si>
  <si>
    <t>enne 2000</t>
  </si>
  <si>
    <t>Heigo Rohtla</t>
  </si>
  <si>
    <t>Kairit Järv</t>
  </si>
  <si>
    <t>Anne Rohtla</t>
  </si>
  <si>
    <t>Virge Laur</t>
  </si>
  <si>
    <t>Annabel Kaldvee</t>
  </si>
  <si>
    <t>Berit Truuts</t>
  </si>
  <si>
    <t>Kaisa Keerd</t>
  </si>
  <si>
    <t>Egle Kalev</t>
  </si>
  <si>
    <t>Ines Beilmann-Lehtonen</t>
  </si>
  <si>
    <t>Marian Kikas</t>
  </si>
  <si>
    <t>Merilin Kalbre</t>
  </si>
  <si>
    <t>Marilyn Uusna</t>
  </si>
  <si>
    <t>Brenda Prants</t>
  </si>
  <si>
    <t>Keiu Oras</t>
  </si>
  <si>
    <t>Brit Truuts</t>
  </si>
  <si>
    <t>Sanna Podekrat</t>
  </si>
  <si>
    <t>Kaja Tuisk</t>
  </si>
  <si>
    <t>Katrin Liiv</t>
  </si>
  <si>
    <t>Grete Kaas</t>
  </si>
  <si>
    <t>Kalli Kalbre</t>
  </si>
  <si>
    <t>Katrin Mets</t>
  </si>
  <si>
    <t>Eliise Laur</t>
  </si>
  <si>
    <t>Priidu Tikk</t>
  </si>
  <si>
    <t>Elisabeth Kaldvee</t>
  </si>
  <si>
    <t>Jelena Sbitneva</t>
  </si>
  <si>
    <t>Marja Salomaa</t>
  </si>
  <si>
    <t>Joosep Tikk</t>
  </si>
  <si>
    <t>Külli Taro</t>
  </si>
  <si>
    <t>Lilian Schönberg</t>
  </si>
  <si>
    <t>Maria Runno</t>
  </si>
  <si>
    <t>Laura Nahkor</t>
  </si>
  <si>
    <t>Peeter Liiv</t>
  </si>
  <si>
    <t>Mari Saar</t>
  </si>
  <si>
    <t>Anniki Kreek</t>
  </si>
  <si>
    <t>Gerli Sein</t>
  </si>
  <si>
    <t>Margaret Peremees</t>
  </si>
  <si>
    <t>Helina Kalev</t>
  </si>
  <si>
    <t>Aivar Taro</t>
  </si>
  <si>
    <t>Kadri Kullerkupp</t>
  </si>
  <si>
    <t>Marian Koplimäe</t>
  </si>
  <si>
    <t>Marko Graverson</t>
  </si>
  <si>
    <t>Hanna Rohtla</t>
  </si>
  <si>
    <t>Esti Viilup</t>
  </si>
  <si>
    <t>Mari Jürgenson</t>
  </si>
  <si>
    <t>Mari-liis Tammeleht</t>
  </si>
  <si>
    <t>Lene Aadli</t>
  </si>
  <si>
    <t>Gerly Pällo</t>
  </si>
  <si>
    <t>Kalev Käsperson</t>
  </si>
  <si>
    <t>Doora Elmi</t>
  </si>
  <si>
    <t>Eveli Pärna</t>
  </si>
  <si>
    <t>Madle Sirel</t>
  </si>
  <si>
    <t>Hanna Laura Leesme</t>
  </si>
  <si>
    <t>Johannes Mooste</t>
  </si>
  <si>
    <t>Siim Laur</t>
  </si>
  <si>
    <t>Kaia Raidma</t>
  </si>
  <si>
    <t>Sirje Kiilits</t>
  </si>
  <si>
    <t>Katrin Graverson</t>
  </si>
  <si>
    <t>Reelika Sarapuu</t>
  </si>
  <si>
    <t>Raili Pärt</t>
  </si>
  <si>
    <t>Sanna Turu</t>
  </si>
  <si>
    <t>Erle Oja</t>
  </si>
  <si>
    <t>Maris Kallo</t>
  </si>
  <si>
    <t xml:space="preserve">         Stiven Savin</t>
  </si>
  <si>
    <t>Tuuli Reede</t>
  </si>
  <si>
    <t>Kristiina Kassmann</t>
  </si>
  <si>
    <t>Maris Saar</t>
  </si>
  <si>
    <t>Marii Helen Eek</t>
  </si>
  <si>
    <t>Gabriel Kibal</t>
  </si>
  <si>
    <t>Margit Rändur</t>
  </si>
  <si>
    <t>Mari-Leen Tikk</t>
  </si>
  <si>
    <t>Anni Elisabeth Piirfeldt</t>
  </si>
  <si>
    <t>Annete Sikora</t>
  </si>
  <si>
    <t>Kristin Tärn</t>
  </si>
  <si>
    <t>Ly Puri</t>
  </si>
  <si>
    <t>Triinu Rannast</t>
  </si>
  <si>
    <t>Ksenja Mihnovitš</t>
  </si>
  <si>
    <t>Astra Nilk</t>
  </si>
  <si>
    <t>Anett Laever</t>
  </si>
  <si>
    <t>Karoline Aun</t>
  </si>
  <si>
    <t>Triin moisa</t>
  </si>
  <si>
    <t>Grete Õismets</t>
  </si>
  <si>
    <t>Cätlin Mölder</t>
  </si>
  <si>
    <t>Angelika Sadam</t>
  </si>
  <si>
    <t>Anu Sikk</t>
  </si>
  <si>
    <t xml:space="preserve">       Katarina Urm</t>
  </si>
  <si>
    <t>Eleri Narits</t>
  </si>
  <si>
    <t>Maris Suuster</t>
  </si>
  <si>
    <t xml:space="preserve">      Triinu Tiidus</t>
  </si>
  <si>
    <t>Janika Nigul</t>
  </si>
  <si>
    <t>Anne Luik</t>
  </si>
  <si>
    <t>Kreeta-Lisett Tooming</t>
  </si>
  <si>
    <t>Heddy Talvik</t>
  </si>
  <si>
    <t>Liisa Juurmann</t>
  </si>
  <si>
    <t>Margarita Randviir</t>
  </si>
  <si>
    <t>Anna Liisa Kalja</t>
  </si>
  <si>
    <t>Annabel Kallo</t>
  </si>
  <si>
    <t>Anneliis Plado</t>
  </si>
  <si>
    <t>Õnne Halliko</t>
  </si>
  <si>
    <t>Britta Stern</t>
  </si>
  <si>
    <t>Merilin Sinimets</t>
  </si>
  <si>
    <t>Randy Mägi</t>
  </si>
  <si>
    <t>Grethel Kasesalu</t>
  </si>
  <si>
    <t xml:space="preserve">     Olga Maksimenko</t>
  </si>
  <si>
    <t>Hannes Arvisto</t>
  </si>
  <si>
    <t xml:space="preserve">           Elis Aksli</t>
  </si>
  <si>
    <t>Vasilina Savinova</t>
  </si>
  <si>
    <t>Adele Karolina Kõre</t>
  </si>
  <si>
    <t>Alice Allik</t>
  </si>
  <si>
    <t>Sigrid Sild</t>
  </si>
  <si>
    <t>Doris Elmi</t>
  </si>
  <si>
    <t>Siret Sivonen</t>
  </si>
  <si>
    <t>Kadi Nurs</t>
  </si>
  <si>
    <t>Urmas Brück</t>
  </si>
  <si>
    <t>Liivar Laks</t>
  </si>
  <si>
    <t>Tuuli Sammelselg</t>
  </si>
  <si>
    <t>Sandra Sirel</t>
  </si>
  <si>
    <t>Ene Neimla</t>
  </si>
  <si>
    <t>Jaanika Sadam</t>
  </si>
  <si>
    <t>Cristella Treial</t>
  </si>
  <si>
    <t>Eliise Saarepera</t>
  </si>
  <si>
    <t>Mirjam Jaaska</t>
  </si>
  <si>
    <t>Carmen Roomet</t>
  </si>
  <si>
    <t>Karolin Braun</t>
  </si>
  <si>
    <t>Triin Laanemägi</t>
  </si>
  <si>
    <t xml:space="preserve">        Hedi Laigar</t>
  </si>
  <si>
    <t>Vello Kikas</t>
  </si>
  <si>
    <t>Loviise Liia Paas</t>
  </si>
  <si>
    <t>Kaisa Kask</t>
  </si>
  <si>
    <t>Maret Kasemets</t>
  </si>
  <si>
    <t>Brenda Raid</t>
  </si>
  <si>
    <t>Hanna-Liisa Aasma</t>
  </si>
  <si>
    <t>Mihkel Lindre</t>
  </si>
  <si>
    <t>Lauri Juhani Lehtinen</t>
  </si>
  <si>
    <t>Sille Vaimets</t>
  </si>
  <si>
    <t>Johanna Jakobson</t>
  </si>
  <si>
    <t>Maria Pääsuke</t>
  </si>
  <si>
    <t>Eva Veltri</t>
  </si>
  <si>
    <t>Kadri-Liis Remmelgas</t>
  </si>
  <si>
    <t>Agnes Annimäe</t>
  </si>
  <si>
    <t>Jennifer-Chelsea Laanet</t>
  </si>
  <si>
    <t>Joonas Maru Aardevälja</t>
  </si>
  <si>
    <t xml:space="preserve">      Regina Waren</t>
  </si>
  <si>
    <t xml:space="preserve">  Oksana Podgorelov</t>
  </si>
  <si>
    <t xml:space="preserve">  Agnes Podgorelov</t>
  </si>
  <si>
    <t>Railis Ipsberg</t>
  </si>
  <si>
    <t>Jana Jalast</t>
  </si>
  <si>
    <t>Kaire Ojapõld</t>
  </si>
  <si>
    <t>Tiina Kuusepuu</t>
  </si>
  <si>
    <t>Kelly Kvarnström</t>
  </si>
  <si>
    <t>Priit Perna</t>
  </si>
  <si>
    <t>Jane Vahtras</t>
  </si>
  <si>
    <t>Johanna Krippel</t>
  </si>
  <si>
    <t>Laura Jõgeda</t>
  </si>
  <si>
    <t xml:space="preserve">      Anella Stimmer</t>
  </si>
  <si>
    <t>Kristi Saarmas</t>
  </si>
  <si>
    <t>Kristin Kesmaa</t>
  </si>
  <si>
    <t>Pille Toom</t>
  </si>
  <si>
    <t>Birgit Raid</t>
  </si>
  <si>
    <t>Anna-Liisa Pääsukene</t>
  </si>
  <si>
    <t>Anu Tavidoff</t>
  </si>
  <si>
    <t>Triin Paur</t>
  </si>
  <si>
    <t>Nora Reinet</t>
  </si>
  <si>
    <t>Marjana Tilk</t>
  </si>
  <si>
    <t>Marita Tilk</t>
  </si>
  <si>
    <t>Riin Reimer</t>
  </si>
  <si>
    <t>Teele Tohver</t>
  </si>
  <si>
    <t>Anneli Metsaorg</t>
  </si>
  <si>
    <t>Johanna Ivask</t>
  </si>
  <si>
    <t>Koit Tikk</t>
  </si>
  <si>
    <t xml:space="preserve">           Eleri Sirel</t>
  </si>
  <si>
    <t>Anu Moisa</t>
  </si>
  <si>
    <t>Kelly Pärnalaas</t>
  </si>
  <si>
    <t>Al-Dra Kungla</t>
  </si>
  <si>
    <t>Lovisa Anetta Marcella Lilles</t>
  </si>
  <si>
    <t>Georg Koppel</t>
  </si>
  <si>
    <t>Hele Mai Hipp Müller</t>
  </si>
  <si>
    <t xml:space="preserve">      Merja Magnus</t>
  </si>
  <si>
    <t>Triin Visamaa</t>
  </si>
  <si>
    <t>Gertu Vilba</t>
  </si>
  <si>
    <t>Kätlin Leisson</t>
  </si>
  <si>
    <t>Merlin Vips</t>
  </si>
  <si>
    <t xml:space="preserve">   Mairi Zernand-kris</t>
  </si>
  <si>
    <t>Kaisa Ets</t>
  </si>
  <si>
    <t xml:space="preserve">    Mariel Olkonen</t>
  </si>
  <si>
    <t>Mart Saamuel Lobjakas</t>
  </si>
  <si>
    <t>Key Paju</t>
  </si>
  <si>
    <t>Elle Helena Karrus</t>
  </si>
  <si>
    <t>Mariliis Parve</t>
  </si>
  <si>
    <t>Grete Tooming</t>
  </si>
  <si>
    <t>Viivika Liiman</t>
  </si>
  <si>
    <t>Maarja Malm</t>
  </si>
  <si>
    <t>Kristi Vahenurm</t>
  </si>
  <si>
    <t>Artur Lember</t>
  </si>
  <si>
    <t>Margit Raudkivi</t>
  </si>
  <si>
    <t>Keidy Jõgi</t>
  </si>
  <si>
    <t>Carolin Nõmm</t>
  </si>
  <si>
    <t>Eeva-Anette Värk</t>
  </si>
  <si>
    <t>Doris Tedre</t>
  </si>
  <si>
    <t>Piia Marie Leesme</t>
  </si>
  <si>
    <t>Kristine Käärmamees</t>
  </si>
  <si>
    <t>Heidi Veski</t>
  </si>
  <si>
    <t>Kerli Karita Nugis</t>
  </si>
  <si>
    <t>Mirje Uibo</t>
  </si>
  <si>
    <t>Andra Selesneva</t>
  </si>
  <si>
    <t>Annika Raie</t>
  </si>
  <si>
    <t>Margit Martin</t>
  </si>
  <si>
    <t>Tiiu Valk</t>
  </si>
  <si>
    <t>Kaisa-Liisi Kangur</t>
  </si>
  <si>
    <t>Tõnu Tõnov</t>
  </si>
  <si>
    <t>Laura Olesk</t>
  </si>
  <si>
    <t>Kert Kiis</t>
  </si>
  <si>
    <t>Hugo Rohtla</t>
  </si>
  <si>
    <t>Aleksandra Kliimand</t>
  </si>
  <si>
    <t>Kirkke Eliis Põldsalu</t>
  </si>
  <si>
    <t>Erik Tuiman</t>
  </si>
  <si>
    <t>Sigrid Lain</t>
  </si>
  <si>
    <t>Kristiina Johanna Feldmann</t>
  </si>
  <si>
    <t>Kaili Puttonen</t>
  </si>
  <si>
    <t>Annika Aruots</t>
  </si>
  <si>
    <t>Hardo Käänik</t>
  </si>
  <si>
    <t>Siiri Verrev</t>
  </si>
  <si>
    <t>Anna-Liis Toming</t>
  </si>
  <si>
    <t>Marelle Mangus</t>
  </si>
  <si>
    <t>Elina Laur</t>
  </si>
  <si>
    <t>Evelin Luga</t>
  </si>
  <si>
    <t>Joel Jürisson</t>
  </si>
  <si>
    <t>Emilla Uustalu</t>
  </si>
  <si>
    <t xml:space="preserve">        Ellen Põder</t>
  </si>
  <si>
    <t>Maarja Paim</t>
  </si>
  <si>
    <t>Kauro Padar</t>
  </si>
  <si>
    <t>Egle Saar</t>
  </si>
  <si>
    <t>Britt Ülesoo</t>
  </si>
  <si>
    <t>Annely Metsaorg</t>
  </si>
  <si>
    <t>Ede Eerits</t>
  </si>
  <si>
    <t>Sandra Loo</t>
  </si>
  <si>
    <t>Aire Aun</t>
  </si>
  <si>
    <t>Triin Vallaste</t>
  </si>
  <si>
    <t>Holden Karl Hain</t>
  </si>
  <si>
    <t>Marili Põldma</t>
  </si>
  <si>
    <t>Annika Vaheoja</t>
  </si>
  <si>
    <t>Kathleen Parik</t>
  </si>
  <si>
    <t>Keti Adov</t>
  </si>
  <si>
    <t>Indrek Jõesaar</t>
  </si>
  <si>
    <t>Anette Leppik</t>
  </si>
  <si>
    <t>Meeli Räbin</t>
  </si>
  <si>
    <t>K.Kuik Tõnissoo</t>
  </si>
  <si>
    <t>Regne Soon</t>
  </si>
  <si>
    <t>Meriln Erm</t>
  </si>
  <si>
    <t xml:space="preserve">       Kaia Õispuu</t>
  </si>
  <si>
    <t xml:space="preserve">       Anni Liis Hoop</t>
  </si>
  <si>
    <t xml:space="preserve">       Kerli Jürimäe</t>
  </si>
  <si>
    <t xml:space="preserve">       Kelly Uluots</t>
  </si>
  <si>
    <t xml:space="preserve">      Johanna Aren</t>
  </si>
  <si>
    <t>Liisa Helena Timmerman</t>
  </si>
  <si>
    <t xml:space="preserve">   Peeter Ernik Liiv</t>
  </si>
  <si>
    <t xml:space="preserve">       Merilin Särg</t>
  </si>
  <si>
    <t xml:space="preserve">     Kristin Juurik</t>
  </si>
  <si>
    <t>Mia Turu</t>
  </si>
  <si>
    <t>Heli Püümann</t>
  </si>
  <si>
    <t>Kristiina Rea</t>
  </si>
  <si>
    <t>Ann Meriste White</t>
  </si>
  <si>
    <t>Raili Mets</t>
  </si>
  <si>
    <t>Johannes Jürisson</t>
  </si>
  <si>
    <t>Toomas Traagel</t>
  </si>
  <si>
    <t>Vassel Kivisoo</t>
  </si>
  <si>
    <t>Kalle Põldsaar</t>
  </si>
  <si>
    <t>Raner Paap</t>
  </si>
  <si>
    <t xml:space="preserve">     Markus Hallik</t>
  </si>
  <si>
    <t xml:space="preserve">   Gerda Loorepere</t>
  </si>
  <si>
    <t>Riina Vanatoa</t>
  </si>
  <si>
    <t>Aliise Mikk</t>
  </si>
  <si>
    <t>Triin Tartu</t>
  </si>
  <si>
    <t>Stella Kuusemets</t>
  </si>
  <si>
    <t>Laura Elvet</t>
  </si>
  <si>
    <t>Holger Eric Hain</t>
  </si>
  <si>
    <t>Maili Hüsse</t>
  </si>
  <si>
    <t>Grete Arro</t>
  </si>
  <si>
    <t>Kea Kiiver</t>
  </si>
  <si>
    <t>Lauri Aasmann</t>
  </si>
  <si>
    <t>Viljar Laos</t>
  </si>
  <si>
    <t>Jasmin Viinamägi</t>
  </si>
  <si>
    <t>Maire Õunmaa</t>
  </si>
  <si>
    <t>Laura Hirvoja</t>
  </si>
  <si>
    <t>Sille Kaupmees</t>
  </si>
  <si>
    <t>Karmen Trepp</t>
  </si>
  <si>
    <t>Johanna Teppan</t>
  </si>
  <si>
    <t>Liis-Ellen Raivet</t>
  </si>
  <si>
    <t>Sigrid Salumets</t>
  </si>
  <si>
    <t>Karmen Kasemets</t>
  </si>
  <si>
    <t>Lija Odisharia</t>
  </si>
  <si>
    <t>Liina Vatsa</t>
  </si>
  <si>
    <t>Carmen Elis Martikainen</t>
  </si>
  <si>
    <t>Jevgeni Medgov</t>
  </si>
  <si>
    <t>viimane uuendus 18.07.17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</si>
</sst>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&quot;.&quot;m&quot;.&quot;yy"/>
    <numFmt numFmtId="165" formatCode="[$-425]General"/>
    <numFmt numFmtId="166" formatCode="#,##0.00&quot; &quot;[$€-425];[Red]&quot;-&quot;#,##0.00&quot; &quot;[$€-425]"/>
  </numFmts>
  <fonts count="6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6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14">
    <xf numFmtId="0" fontId="0" fillId="0" borderId="0" xfId="0"/>
    <xf numFmtId="165" fontId="4" fillId="0" borderId="1" xfId="1" applyFont="1" applyBorder="1" applyAlignment="1">
      <alignment horizontal="center"/>
    </xf>
    <xf numFmtId="165" fontId="4" fillId="0" borderId="2" xfId="1" applyFont="1" applyBorder="1" applyAlignment="1">
      <alignment horizontal="center"/>
    </xf>
    <xf numFmtId="165" fontId="4" fillId="0" borderId="0" xfId="1" applyFont="1" applyBorder="1" applyAlignment="1">
      <alignment horizontal="center"/>
    </xf>
    <xf numFmtId="165" fontId="4" fillId="0" borderId="3" xfId="1" applyFont="1" applyBorder="1" applyAlignment="1">
      <alignment horizontal="center"/>
    </xf>
    <xf numFmtId="165" fontId="1" fillId="0" borderId="0" xfId="1" applyAlignment="1"/>
    <xf numFmtId="165" fontId="1" fillId="0" borderId="0" xfId="1"/>
    <xf numFmtId="164" fontId="4" fillId="0" borderId="3" xfId="1" applyNumberFormat="1" applyFont="1" applyBorder="1" applyAlignment="1">
      <alignment horizontal="center"/>
    </xf>
    <xf numFmtId="165" fontId="4" fillId="0" borderId="0" xfId="1" applyFont="1" applyAlignment="1">
      <alignment horizontal="center"/>
    </xf>
    <xf numFmtId="165" fontId="4" fillId="0" borderId="0" xfId="1" applyFont="1"/>
    <xf numFmtId="165" fontId="4" fillId="0" borderId="0" xfId="1" applyFont="1" applyBorder="1" applyAlignment="1"/>
    <xf numFmtId="165" fontId="4" fillId="0" borderId="0" xfId="1" applyFont="1" applyAlignment="1"/>
    <xf numFmtId="165" fontId="4" fillId="0" borderId="0" xfId="1" applyFont="1" applyAlignment="1">
      <alignment wrapText="1"/>
    </xf>
    <xf numFmtId="165" fontId="5" fillId="0" borderId="0" xfId="1" applyFont="1"/>
  </cellXfs>
  <cellStyles count="6">
    <cellStyle name="Excel Built-in Explanatory Text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09"/>
  <sheetViews>
    <sheetView tabSelected="1" workbookViewId="0"/>
  </sheetViews>
  <sheetFormatPr defaultRowHeight="14.1" x14ac:dyDescent="0.45"/>
  <cols>
    <col min="1" max="1" width="18.5" style="6" customWidth="1"/>
    <col min="2" max="2" width="10.0625" style="6" customWidth="1"/>
    <col min="3" max="6" width="7.8125" style="6" customWidth="1"/>
    <col min="7" max="8" width="6.5" style="6" customWidth="1"/>
    <col min="9" max="11" width="5.6875" style="6" customWidth="1"/>
    <col min="12" max="13" width="3.3125" style="6" customWidth="1"/>
    <col min="14" max="15" width="5.6875" style="6" customWidth="1"/>
    <col min="16" max="20" width="3.3125" style="6" customWidth="1"/>
    <col min="21" max="21" width="8.3125" style="6" customWidth="1"/>
    <col min="22" max="22" width="3.3125" style="6" customWidth="1"/>
    <col min="23" max="1024" width="6.5" style="6" customWidth="1"/>
  </cols>
  <sheetData>
    <row r="1" spans="1:23" s="2" customFormat="1" ht="15.75" x14ac:dyDescent="0.5">
      <c r="A1" s="1" t="s">
        <v>0</v>
      </c>
      <c r="B1" s="2" t="s">
        <v>1</v>
      </c>
      <c r="C1" s="2">
        <v>2017</v>
      </c>
      <c r="D1" s="2">
        <v>2016</v>
      </c>
      <c r="E1" s="2">
        <v>2015</v>
      </c>
      <c r="F1" s="2">
        <v>2014</v>
      </c>
      <c r="G1" s="2">
        <v>2013</v>
      </c>
      <c r="H1" s="2">
        <v>2012</v>
      </c>
      <c r="I1" s="2">
        <v>2011</v>
      </c>
      <c r="J1" s="2">
        <v>2010</v>
      </c>
      <c r="K1" s="2">
        <v>2009</v>
      </c>
      <c r="L1" s="2">
        <v>2008</v>
      </c>
      <c r="M1" s="2">
        <v>2007</v>
      </c>
      <c r="N1" s="2">
        <v>2006</v>
      </c>
      <c r="O1" s="2">
        <v>2005</v>
      </c>
      <c r="P1" s="2">
        <v>2004</v>
      </c>
      <c r="Q1" s="2">
        <v>2003</v>
      </c>
      <c r="R1" s="2">
        <v>2002</v>
      </c>
      <c r="S1" s="2">
        <v>2001</v>
      </c>
      <c r="T1" s="2">
        <v>2000</v>
      </c>
      <c r="U1" s="2" t="s">
        <v>2</v>
      </c>
      <c r="V1" s="3"/>
      <c r="W1" s="3"/>
    </row>
    <row r="2" spans="1:23" s="5" customFormat="1" ht="15.75" x14ac:dyDescent="0.5">
      <c r="A2" s="4" t="s">
        <v>3</v>
      </c>
      <c r="B2" s="3">
        <f t="shared" ref="B2:B65" si="0">SUM(C2:U2)</f>
        <v>5600.0499999999993</v>
      </c>
      <c r="C2" s="3">
        <f>SUM(53.6+120+30+160)</f>
        <v>363.6</v>
      </c>
      <c r="D2" s="3">
        <f>SUM(46+54+160+32+120+40+160+80+80)</f>
        <v>772</v>
      </c>
      <c r="E2" s="3">
        <f>SUM(50+120+120+52+120)</f>
        <v>462</v>
      </c>
      <c r="F2" s="3">
        <f>SUM(90.6+84+81+51)</f>
        <v>306.60000000000002</v>
      </c>
      <c r="G2" s="3">
        <v>339.5</v>
      </c>
      <c r="H2" s="3">
        <v>472.85</v>
      </c>
      <c r="I2" s="3">
        <v>401.5</v>
      </c>
      <c r="J2" s="3">
        <v>240</v>
      </c>
      <c r="K2" s="3">
        <v>543</v>
      </c>
      <c r="L2" s="3">
        <v>63</v>
      </c>
      <c r="M2" s="3">
        <v>261</v>
      </c>
      <c r="N2" s="3">
        <v>371</v>
      </c>
      <c r="O2" s="3">
        <v>350</v>
      </c>
      <c r="P2" s="3">
        <v>306</v>
      </c>
      <c r="Q2" s="3">
        <v>188</v>
      </c>
      <c r="R2" s="3">
        <v>30</v>
      </c>
      <c r="U2" s="3">
        <v>130</v>
      </c>
    </row>
    <row r="3" spans="1:23" ht="15.75" x14ac:dyDescent="0.5">
      <c r="A3" s="4" t="s">
        <v>4</v>
      </c>
      <c r="B3" s="3">
        <f t="shared" si="0"/>
        <v>5584.95</v>
      </c>
      <c r="C3" s="3">
        <f>SUM(80.4+80+50+120+40)</f>
        <v>370.4</v>
      </c>
      <c r="D3" s="3">
        <f>SUM(46+50+160+84+83+83+42.4+42.4+52+40+160)</f>
        <v>842.8</v>
      </c>
      <c r="E3" s="3">
        <f>SUM(53+120+54+120)</f>
        <v>347</v>
      </c>
      <c r="F3" s="3">
        <f>SUM(90.6+160+120+81+51)</f>
        <v>502.6</v>
      </c>
      <c r="G3" s="3">
        <v>623.5</v>
      </c>
      <c r="H3" s="3">
        <v>647.85</v>
      </c>
      <c r="I3" s="3">
        <v>556</v>
      </c>
      <c r="J3" s="3">
        <v>615.79999999999995</v>
      </c>
      <c r="K3" s="3">
        <v>590</v>
      </c>
      <c r="L3" s="3">
        <v>353</v>
      </c>
      <c r="M3" s="3">
        <v>85</v>
      </c>
      <c r="N3" s="3">
        <v>51</v>
      </c>
      <c r="O3" s="3"/>
      <c r="P3" s="3"/>
      <c r="Q3" s="3"/>
      <c r="R3" s="3"/>
      <c r="S3" s="3"/>
      <c r="T3" s="3"/>
      <c r="U3" s="3"/>
    </row>
    <row r="4" spans="1:23" ht="15.75" x14ac:dyDescent="0.5">
      <c r="A4" s="4" t="s">
        <v>5</v>
      </c>
      <c r="B4" s="3">
        <f t="shared" si="0"/>
        <v>4313.7</v>
      </c>
      <c r="C4" s="3">
        <f>SUM(53.6)</f>
        <v>53.6</v>
      </c>
      <c r="D4" s="3">
        <f>SUM(54+32+34+40.5)</f>
        <v>160.5</v>
      </c>
      <c r="E4" s="3">
        <f>SUM(120+120+52)</f>
        <v>292</v>
      </c>
      <c r="F4" s="3">
        <f>SUM(90.6+80+39+51+81)</f>
        <v>341.6</v>
      </c>
      <c r="G4" s="3">
        <v>378</v>
      </c>
      <c r="H4" s="3">
        <v>845</v>
      </c>
      <c r="I4" s="3">
        <v>478.5</v>
      </c>
      <c r="J4" s="3">
        <v>368</v>
      </c>
      <c r="K4" s="3">
        <v>343.5</v>
      </c>
      <c r="L4" s="3">
        <v>169</v>
      </c>
      <c r="N4" s="3">
        <v>118</v>
      </c>
      <c r="O4" s="3">
        <v>249</v>
      </c>
      <c r="P4" s="3">
        <v>305</v>
      </c>
      <c r="Q4" s="3">
        <v>182</v>
      </c>
      <c r="R4" s="3">
        <v>30</v>
      </c>
    </row>
    <row r="5" spans="1:23" ht="15.75" x14ac:dyDescent="0.5">
      <c r="A5" s="4" t="s">
        <v>6</v>
      </c>
      <c r="B5" s="3">
        <f t="shared" si="0"/>
        <v>2827.5</v>
      </c>
      <c r="C5" s="3">
        <f>SUM(120)</f>
        <v>120</v>
      </c>
      <c r="D5" s="3">
        <f>SUM(46+81+160+84)</f>
        <v>371</v>
      </c>
      <c r="E5" s="3">
        <f>SUM(52)</f>
        <v>52</v>
      </c>
      <c r="F5" s="3">
        <f>SUM(53+45+120)</f>
        <v>218</v>
      </c>
      <c r="G5" s="3">
        <v>94</v>
      </c>
      <c r="H5" s="3">
        <v>256</v>
      </c>
      <c r="I5" s="3">
        <v>122.5</v>
      </c>
      <c r="J5" s="3">
        <v>520</v>
      </c>
      <c r="K5" s="3">
        <v>384</v>
      </c>
      <c r="L5" s="3">
        <v>393</v>
      </c>
      <c r="M5" s="3">
        <v>297</v>
      </c>
      <c r="N5" s="3"/>
      <c r="O5" s="3"/>
    </row>
    <row r="6" spans="1:23" ht="15.75" x14ac:dyDescent="0.5">
      <c r="A6" s="4" t="s">
        <v>7</v>
      </c>
      <c r="B6" s="3">
        <f t="shared" si="0"/>
        <v>3018.35</v>
      </c>
      <c r="C6" s="3">
        <f>SUM(53.6+120+50+120+82)</f>
        <v>425.6</v>
      </c>
      <c r="D6" s="3">
        <f>SUM(81+120+83+67+52+120+80+84)</f>
        <v>687</v>
      </c>
      <c r="E6" s="3">
        <f>SUM(80.4+84+120+80+67+85+120)</f>
        <v>636.4</v>
      </c>
      <c r="F6" s="3">
        <f>SUM(80+80+81+120+52)</f>
        <v>413</v>
      </c>
      <c r="G6" s="3">
        <v>490.5</v>
      </c>
      <c r="H6" s="3">
        <v>365.85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3" ht="15.75" x14ac:dyDescent="0.5">
      <c r="A7" s="4" t="s">
        <v>8</v>
      </c>
      <c r="B7" s="3">
        <f t="shared" si="0"/>
        <v>2820.75</v>
      </c>
      <c r="C7" s="3">
        <f>SUM(53.6+80+120)</f>
        <v>253.6</v>
      </c>
      <c r="D7" s="3">
        <f>SUM(54+80+53+55.5+85+56)</f>
        <v>383.5</v>
      </c>
      <c r="E7" s="3">
        <f>SUM(34+80+52+67+85+34+57)</f>
        <v>409</v>
      </c>
      <c r="F7" s="3">
        <f>SUM(54+53+80+67+81+51+51+52)</f>
        <v>489</v>
      </c>
      <c r="G7" s="3">
        <v>363</v>
      </c>
      <c r="H7" s="3">
        <v>263.35000000000002</v>
      </c>
      <c r="I7" s="3">
        <v>334.5</v>
      </c>
      <c r="J7" s="3">
        <v>251.8</v>
      </c>
      <c r="K7" s="3">
        <v>39</v>
      </c>
      <c r="L7" s="3">
        <v>34</v>
      </c>
      <c r="N7" s="3"/>
      <c r="O7" s="3"/>
    </row>
    <row r="8" spans="1:23" ht="15.75" x14ac:dyDescent="0.5">
      <c r="A8" s="4" t="s">
        <v>9</v>
      </c>
      <c r="B8" s="3">
        <f t="shared" si="0"/>
        <v>3043.9</v>
      </c>
      <c r="C8" s="3">
        <f>SUM(64+54+120+120+80+80)</f>
        <v>518</v>
      </c>
      <c r="D8" s="3">
        <f>SUM(46+50+54+80+67+120+120+44+84+66)</f>
        <v>731</v>
      </c>
      <c r="E8" s="3">
        <f>SUM(80.4+53+80+67+85)</f>
        <v>365.4</v>
      </c>
      <c r="F8" s="3">
        <f>SUM(54+120+120+51+80+67+34+81+51+120+52)</f>
        <v>830</v>
      </c>
      <c r="G8" s="3">
        <v>557.5</v>
      </c>
      <c r="H8" s="3">
        <v>42</v>
      </c>
      <c r="N8" s="3"/>
      <c r="O8" s="3"/>
    </row>
    <row r="9" spans="1:23" ht="15.75" x14ac:dyDescent="0.5">
      <c r="A9" s="4" t="s">
        <v>10</v>
      </c>
      <c r="B9" s="3">
        <f t="shared" si="0"/>
        <v>2459.5</v>
      </c>
      <c r="C9" s="3">
        <v>0</v>
      </c>
      <c r="D9" s="3">
        <v>0</v>
      </c>
      <c r="F9" s="3">
        <v>84</v>
      </c>
      <c r="G9" s="3">
        <v>440</v>
      </c>
      <c r="H9" s="3">
        <v>463</v>
      </c>
      <c r="I9" s="3">
        <v>483.5</v>
      </c>
      <c r="J9" s="3">
        <v>223</v>
      </c>
      <c r="K9" s="3">
        <v>177</v>
      </c>
      <c r="L9" s="3">
        <v>30</v>
      </c>
      <c r="M9" s="3">
        <v>109</v>
      </c>
      <c r="N9" s="3">
        <v>107</v>
      </c>
      <c r="O9" s="3">
        <v>96</v>
      </c>
      <c r="P9" s="3">
        <v>117</v>
      </c>
      <c r="Q9" s="3">
        <v>100</v>
      </c>
      <c r="R9" s="3">
        <v>30</v>
      </c>
    </row>
    <row r="10" spans="1:23" ht="15.75" x14ac:dyDescent="0.5">
      <c r="A10" s="4" t="s">
        <v>11</v>
      </c>
      <c r="B10" s="3">
        <f t="shared" si="0"/>
        <v>2613.1999999999998</v>
      </c>
      <c r="C10" s="3">
        <f>SUM(84+80+80)</f>
        <v>244</v>
      </c>
      <c r="D10" s="3">
        <f>SUM(46+81+83)</f>
        <v>210</v>
      </c>
      <c r="E10" s="3">
        <f>SUM(81+50+84+80+80+81+100+85+80)</f>
        <v>721</v>
      </c>
      <c r="F10" s="3">
        <f>SUM(81+51+65+45+80+50+84)</f>
        <v>456</v>
      </c>
      <c r="G10" s="3">
        <v>183.5</v>
      </c>
      <c r="H10" s="3">
        <v>326.2</v>
      </c>
      <c r="I10" s="3">
        <v>388.5</v>
      </c>
      <c r="J10" s="3">
        <v>84</v>
      </c>
      <c r="N10" s="3"/>
      <c r="O10" s="3"/>
    </row>
    <row r="11" spans="1:23" ht="15.75" x14ac:dyDescent="0.5">
      <c r="A11" s="4" t="s">
        <v>12</v>
      </c>
      <c r="B11" s="3">
        <f t="shared" si="0"/>
        <v>2789</v>
      </c>
      <c r="C11" s="3">
        <f>SUM(80+120+160+82)</f>
        <v>442</v>
      </c>
      <c r="D11" s="3">
        <f>SUM(81)</f>
        <v>81</v>
      </c>
      <c r="E11" s="3">
        <f>SUM(81+52+81)</f>
        <v>214</v>
      </c>
      <c r="F11" s="3">
        <f>SUM(81+120+84)</f>
        <v>285</v>
      </c>
      <c r="G11" s="3">
        <v>241.5</v>
      </c>
      <c r="H11" s="3">
        <v>326.5</v>
      </c>
      <c r="I11" s="3">
        <v>485</v>
      </c>
      <c r="J11" s="3">
        <v>374.5</v>
      </c>
      <c r="K11" s="3">
        <v>249.5</v>
      </c>
      <c r="L11" s="3">
        <v>50</v>
      </c>
      <c r="M11" s="3">
        <v>40</v>
      </c>
      <c r="N11" s="3"/>
      <c r="O11" s="3"/>
    </row>
    <row r="12" spans="1:23" ht="15.75" x14ac:dyDescent="0.5">
      <c r="A12" s="4" t="s">
        <v>13</v>
      </c>
      <c r="B12" s="3">
        <f t="shared" si="0"/>
        <v>2674.05</v>
      </c>
      <c r="C12" s="3">
        <f>SUM(54+80.4+82.5+50+50+122)</f>
        <v>438.9</v>
      </c>
      <c r="D12" s="3">
        <f>SUM(46+50+53+55.5+42.4+83+44+41+56+66)</f>
        <v>536.9</v>
      </c>
      <c r="E12" s="3">
        <f>SUM(120+53.6+80+50+85+51+120)</f>
        <v>559.6</v>
      </c>
      <c r="F12" s="3">
        <f>SUM(54+120)</f>
        <v>174</v>
      </c>
      <c r="G12" s="3">
        <v>350.5</v>
      </c>
      <c r="H12" s="3">
        <v>265.35000000000002</v>
      </c>
      <c r="I12" s="3">
        <v>306.5</v>
      </c>
      <c r="J12" s="3">
        <v>42.3</v>
      </c>
      <c r="N12" s="3"/>
      <c r="O12" s="3"/>
    </row>
    <row r="13" spans="1:23" ht="15.75" x14ac:dyDescent="0.5">
      <c r="A13" s="4" t="s">
        <v>14</v>
      </c>
      <c r="B13" s="3">
        <f t="shared" si="0"/>
        <v>2233.8000000000002</v>
      </c>
      <c r="C13" s="3">
        <f>SUM(53.6+52)</f>
        <v>105.6</v>
      </c>
      <c r="D13" s="3">
        <f>SUM(46+80)</f>
        <v>126</v>
      </c>
      <c r="E13" s="3">
        <f>SUM(42+50)</f>
        <v>92</v>
      </c>
      <c r="H13" s="3">
        <v>206.2</v>
      </c>
      <c r="I13" s="3">
        <v>626</v>
      </c>
      <c r="J13" s="3">
        <v>531</v>
      </c>
      <c r="K13" s="3">
        <v>369</v>
      </c>
      <c r="L13" s="3">
        <v>178</v>
      </c>
      <c r="N13" s="3"/>
      <c r="O13" s="3"/>
    </row>
    <row r="14" spans="1:23" ht="15.75" x14ac:dyDescent="0.5">
      <c r="A14" s="4" t="s">
        <v>15</v>
      </c>
      <c r="B14" s="3">
        <f t="shared" si="0"/>
        <v>2601.65</v>
      </c>
      <c r="C14" s="3">
        <f>SUM(54+120+120+50+80+82)</f>
        <v>506</v>
      </c>
      <c r="D14" s="3">
        <f>SUM(50+80+55.5+42.4+120+40.5+80+84)</f>
        <v>552.4</v>
      </c>
      <c r="E14" s="3">
        <f>SUM(50+53.6+53+80+67+51+81)</f>
        <v>435.6</v>
      </c>
      <c r="F14" s="3">
        <f>SUM(54+84)</f>
        <v>138</v>
      </c>
      <c r="G14" s="3">
        <v>188.5</v>
      </c>
      <c r="H14" s="3">
        <v>163.85</v>
      </c>
      <c r="I14" s="3">
        <v>328</v>
      </c>
      <c r="J14" s="3">
        <v>289.3</v>
      </c>
      <c r="N14" s="3"/>
      <c r="O14" s="3"/>
    </row>
    <row r="15" spans="1:23" ht="15.75" x14ac:dyDescent="0.5">
      <c r="A15" s="4" t="s">
        <v>16</v>
      </c>
      <c r="B15" s="3">
        <f t="shared" si="0"/>
        <v>2444.65</v>
      </c>
      <c r="C15" s="3">
        <f>SUM(30+80+120+120)</f>
        <v>350</v>
      </c>
      <c r="D15" s="3">
        <f>SUM(35+83)</f>
        <v>118</v>
      </c>
      <c r="E15" s="3">
        <f>SUM(120+53+120+120)</f>
        <v>413</v>
      </c>
      <c r="F15" s="3">
        <f>SUM(120+80+81)</f>
        <v>281</v>
      </c>
      <c r="G15" s="3">
        <v>312.5</v>
      </c>
      <c r="H15" s="3">
        <v>482.35</v>
      </c>
      <c r="I15" s="3">
        <v>340</v>
      </c>
      <c r="J15" s="3">
        <v>147.80000000000001</v>
      </c>
      <c r="N15" s="3"/>
      <c r="O15" s="3"/>
    </row>
    <row r="16" spans="1:23" ht="15.75" x14ac:dyDescent="0.5">
      <c r="A16" s="4" t="s">
        <v>17</v>
      </c>
      <c r="B16" s="3">
        <f t="shared" si="0"/>
        <v>2115.6</v>
      </c>
      <c r="C16" s="3">
        <f>SUM(53.6+80)</f>
        <v>133.6</v>
      </c>
      <c r="D16" s="3">
        <f>SUM(54+80+83+84)</f>
        <v>301</v>
      </c>
      <c r="F16" s="3">
        <f>SUM(81)</f>
        <v>81</v>
      </c>
      <c r="G16" s="3">
        <v>290.5</v>
      </c>
      <c r="H16" s="3">
        <v>194.5</v>
      </c>
      <c r="I16" s="3">
        <v>42</v>
      </c>
      <c r="J16" s="3">
        <v>44</v>
      </c>
      <c r="K16" s="3">
        <v>284</v>
      </c>
      <c r="L16" s="3">
        <v>251</v>
      </c>
      <c r="M16" s="3">
        <v>252</v>
      </c>
      <c r="N16" s="3">
        <v>242</v>
      </c>
      <c r="O16" s="3"/>
    </row>
    <row r="17" spans="1:21" ht="15.75" x14ac:dyDescent="0.5">
      <c r="A17" s="4" t="s">
        <v>18</v>
      </c>
      <c r="B17" s="3">
        <f t="shared" si="0"/>
        <v>2273.4</v>
      </c>
      <c r="C17" s="3">
        <f>SUM(54+80.4+80+30+122)</f>
        <v>366.4</v>
      </c>
      <c r="D17" s="3">
        <f>SUM(120+81+120+83+67+52+120)</f>
        <v>643</v>
      </c>
      <c r="E17" s="3">
        <f>SUM(50+120+80+80+67+85+80)</f>
        <v>562</v>
      </c>
      <c r="F17" s="3">
        <f>SUM(84+80+67+81+120+52)</f>
        <v>484</v>
      </c>
      <c r="G17" s="3">
        <v>218</v>
      </c>
      <c r="I17" s="5"/>
      <c r="J17" s="5"/>
      <c r="N17" s="3"/>
      <c r="O17" s="3"/>
    </row>
    <row r="18" spans="1:21" s="3" customFormat="1" ht="15.75" x14ac:dyDescent="0.5">
      <c r="A18" s="4" t="s">
        <v>19</v>
      </c>
      <c r="B18" s="3">
        <f t="shared" si="0"/>
        <v>1804</v>
      </c>
      <c r="C18" s="3">
        <v>0</v>
      </c>
      <c r="J18" s="3">
        <v>90</v>
      </c>
      <c r="K18" s="3">
        <v>837</v>
      </c>
      <c r="L18" s="3">
        <v>494</v>
      </c>
      <c r="M18" s="3">
        <v>34</v>
      </c>
      <c r="O18" s="3">
        <v>100</v>
      </c>
      <c r="P18" s="3">
        <v>39</v>
      </c>
      <c r="Q18" s="3">
        <v>50</v>
      </c>
      <c r="R18" s="3">
        <v>80</v>
      </c>
      <c r="S18" s="3">
        <v>80</v>
      </c>
    </row>
    <row r="19" spans="1:21" s="5" customFormat="1" ht="15.75" x14ac:dyDescent="0.5">
      <c r="A19" s="4" t="s">
        <v>20</v>
      </c>
      <c r="B19" s="3">
        <f t="shared" si="0"/>
        <v>1970.9</v>
      </c>
      <c r="C19" s="3">
        <f>SUM(120+34+40)</f>
        <v>194</v>
      </c>
      <c r="D19" s="3">
        <f>SUM(46+81+80+82.4+32)</f>
        <v>321.39999999999998</v>
      </c>
      <c r="E19" s="3">
        <f>SUM(34+52)</f>
        <v>86</v>
      </c>
      <c r="F19" s="3">
        <f>SUM(37+89)</f>
        <v>126</v>
      </c>
      <c r="G19" s="3">
        <v>153.5</v>
      </c>
      <c r="H19" s="3">
        <v>225</v>
      </c>
      <c r="I19" s="3">
        <v>57.5</v>
      </c>
      <c r="J19" s="3">
        <v>502.5</v>
      </c>
      <c r="K19" s="3">
        <v>234</v>
      </c>
      <c r="L19" s="3">
        <v>71</v>
      </c>
      <c r="N19" s="3"/>
      <c r="O19" s="3"/>
    </row>
    <row r="20" spans="1:21" ht="15.75" x14ac:dyDescent="0.5">
      <c r="A20" s="4" t="s">
        <v>21</v>
      </c>
      <c r="B20" s="3">
        <f t="shared" si="0"/>
        <v>1671</v>
      </c>
      <c r="C20" s="3">
        <v>0</v>
      </c>
      <c r="D20" s="3">
        <f>SUM(46+50+83+120+80+80+80+120)</f>
        <v>659</v>
      </c>
      <c r="E20" s="3">
        <f>SUM(51+81)</f>
        <v>132</v>
      </c>
      <c r="F20" s="3">
        <f>SUM(54+51)</f>
        <v>105</v>
      </c>
      <c r="G20" s="3">
        <v>60</v>
      </c>
      <c r="H20" s="3">
        <v>98</v>
      </c>
      <c r="I20" s="3">
        <v>280.5</v>
      </c>
      <c r="J20" s="3">
        <v>336.5</v>
      </c>
      <c r="N20" s="3"/>
      <c r="O20" s="3"/>
    </row>
    <row r="21" spans="1:21" ht="15.75" x14ac:dyDescent="0.5">
      <c r="A21" s="4" t="s">
        <v>22</v>
      </c>
      <c r="B21" s="3">
        <f t="shared" si="0"/>
        <v>1659</v>
      </c>
      <c r="C21" s="3">
        <f>SUM(82)</f>
        <v>82</v>
      </c>
      <c r="D21" s="3">
        <f>SUM(81+100)</f>
        <v>181</v>
      </c>
      <c r="E21" s="3">
        <f>SUM(31)</f>
        <v>31</v>
      </c>
      <c r="F21" s="3">
        <f>SUM(30+51)</f>
        <v>81</v>
      </c>
      <c r="I21" s="5"/>
      <c r="J21" s="5"/>
      <c r="K21" s="3">
        <v>354</v>
      </c>
      <c r="L21" s="3">
        <v>582</v>
      </c>
      <c r="M21" s="3">
        <v>262</v>
      </c>
      <c r="N21" s="3">
        <v>55</v>
      </c>
      <c r="O21" s="3">
        <v>31</v>
      </c>
    </row>
    <row r="22" spans="1:21" ht="15.75" x14ac:dyDescent="0.5">
      <c r="A22" s="4" t="s">
        <v>23</v>
      </c>
      <c r="B22" s="3">
        <f t="shared" si="0"/>
        <v>1699.5</v>
      </c>
      <c r="C22" s="3">
        <f>SUM(53.6+49+52)</f>
        <v>154.6</v>
      </c>
      <c r="D22" s="3">
        <f>SUM(46+54+55.5)</f>
        <v>155.5</v>
      </c>
      <c r="E22" s="3">
        <f>SUM(50+80.4+53+120+31+67+85+34+120+85+81)</f>
        <v>806.4</v>
      </c>
      <c r="F22" s="3">
        <f>SUM(81+84+67+51+80+52)</f>
        <v>415</v>
      </c>
      <c r="G22" s="3">
        <v>86</v>
      </c>
      <c r="H22" s="3">
        <v>82</v>
      </c>
      <c r="I22" s="5"/>
      <c r="J22" s="5"/>
      <c r="K22" s="5"/>
      <c r="L22" s="5"/>
      <c r="M22" s="5"/>
      <c r="N22" s="3"/>
      <c r="O22" s="3"/>
      <c r="P22" s="5"/>
      <c r="Q22" s="5"/>
      <c r="R22" s="5"/>
      <c r="S22" s="5"/>
      <c r="T22" s="5"/>
      <c r="U22" s="5"/>
    </row>
    <row r="23" spans="1:21" ht="15.75" x14ac:dyDescent="0.5">
      <c r="A23" s="7" t="s">
        <v>24</v>
      </c>
      <c r="B23" s="3">
        <f t="shared" si="0"/>
        <v>2387.4</v>
      </c>
      <c r="C23" s="3">
        <f>SUM(80.4+55+80+120+53.6+80+120+80+80+160)</f>
        <v>909</v>
      </c>
      <c r="D23" s="3">
        <f>SUM(81+80+53+83+52+67+80+80+84)</f>
        <v>660</v>
      </c>
      <c r="E23" s="3">
        <f>SUM(50+80.4+52+31+67+85+51+59+57)</f>
        <v>532.4</v>
      </c>
      <c r="F23" s="3">
        <f>SUM(39+45+62+88+52)</f>
        <v>286</v>
      </c>
    </row>
    <row r="24" spans="1:21" ht="15.75" x14ac:dyDescent="0.5">
      <c r="A24" s="4" t="s">
        <v>25</v>
      </c>
      <c r="B24" s="3">
        <f t="shared" si="0"/>
        <v>1455.8</v>
      </c>
      <c r="C24" s="3">
        <f>SUM(120)</f>
        <v>120</v>
      </c>
      <c r="D24" s="3">
        <f>SUM(33.6+33.6+42.4+42.4+82.4+80+100)</f>
        <v>414.4</v>
      </c>
      <c r="E24" s="3">
        <f>SUM(34.6+45.9+48.4+81)</f>
        <v>209.9</v>
      </c>
      <c r="F24" s="3">
        <f>SUM(81)</f>
        <v>81</v>
      </c>
      <c r="H24" s="3">
        <v>213.5</v>
      </c>
      <c r="L24" s="3">
        <v>349</v>
      </c>
      <c r="M24" s="3">
        <v>68</v>
      </c>
      <c r="N24" s="3"/>
      <c r="O24" s="3"/>
    </row>
    <row r="25" spans="1:21" ht="15.75" x14ac:dyDescent="0.5">
      <c r="A25" s="4" t="s">
        <v>26</v>
      </c>
      <c r="B25" s="3">
        <f t="shared" si="0"/>
        <v>1710.4</v>
      </c>
      <c r="C25" s="3">
        <f>SUM(55+80+50+120+80)</f>
        <v>385</v>
      </c>
      <c r="D25" s="3">
        <f>SUM(54+80+53+67+52+120+80+84)</f>
        <v>590</v>
      </c>
      <c r="E25" s="3">
        <f>SUM(50+80.4+84+80+80+67+85+84)</f>
        <v>610.4</v>
      </c>
      <c r="F25" s="3">
        <f>SUM(34+39+52)</f>
        <v>125</v>
      </c>
      <c r="J25" s="5"/>
      <c r="K25" s="5"/>
      <c r="L25" s="5"/>
      <c r="M25" s="5"/>
      <c r="P25" s="5"/>
      <c r="Q25" s="5"/>
      <c r="R25" s="5"/>
      <c r="S25" s="5"/>
      <c r="T25" s="5"/>
      <c r="U25" s="5"/>
    </row>
    <row r="26" spans="1:21" ht="15.75" x14ac:dyDescent="0.5">
      <c r="A26" s="4" t="s">
        <v>27</v>
      </c>
      <c r="B26" s="3">
        <f t="shared" si="0"/>
        <v>1410</v>
      </c>
      <c r="C26" s="3">
        <f>SUM(100+100)</f>
        <v>200</v>
      </c>
      <c r="D26" s="3">
        <f>SUM(120+120)</f>
        <v>240</v>
      </c>
      <c r="E26" s="3">
        <f>SUM(80+120+120+80+80+120+80)</f>
        <v>680</v>
      </c>
      <c r="F26" s="3">
        <f>SUM(34+45+51+80+80)</f>
        <v>290</v>
      </c>
    </row>
    <row r="27" spans="1:21" ht="15.75" x14ac:dyDescent="0.5">
      <c r="A27" s="4" t="s">
        <v>28</v>
      </c>
      <c r="B27" s="3">
        <f t="shared" si="0"/>
        <v>1219.0999999999999</v>
      </c>
      <c r="C27" s="3">
        <v>0</v>
      </c>
      <c r="D27" s="3">
        <v>0</v>
      </c>
      <c r="E27" s="3">
        <f>SUM(80.4+34+120+52+50+89+81+81)</f>
        <v>587.4</v>
      </c>
      <c r="F27" s="3">
        <f>SUM(38.5+80+86.2+51+80)</f>
        <v>335.7</v>
      </c>
      <c r="G27" s="3">
        <f>SUM(60+52.5+60+81)</f>
        <v>253.5</v>
      </c>
      <c r="H27" s="3">
        <f>SUM(42.5)</f>
        <v>42.5</v>
      </c>
    </row>
    <row r="28" spans="1:21" ht="15.75" x14ac:dyDescent="0.5">
      <c r="A28" s="4" t="s">
        <v>29</v>
      </c>
      <c r="B28" s="3">
        <f t="shared" si="0"/>
        <v>1210.8499999999999</v>
      </c>
      <c r="C28" s="3">
        <v>0</v>
      </c>
      <c r="D28" s="3">
        <v>0</v>
      </c>
      <c r="G28" s="3">
        <v>200</v>
      </c>
      <c r="H28" s="3">
        <v>262.85000000000002</v>
      </c>
      <c r="L28" s="3">
        <v>280</v>
      </c>
      <c r="N28" s="3">
        <v>78</v>
      </c>
      <c r="O28" s="3">
        <v>100</v>
      </c>
      <c r="Q28" s="3">
        <v>50</v>
      </c>
      <c r="R28" s="3">
        <v>160</v>
      </c>
      <c r="S28" s="3">
        <v>80</v>
      </c>
    </row>
    <row r="29" spans="1:21" ht="15.75" x14ac:dyDescent="0.5">
      <c r="A29" s="4" t="s">
        <v>30</v>
      </c>
      <c r="B29" s="3">
        <f t="shared" si="0"/>
        <v>1285.95</v>
      </c>
      <c r="C29" s="3">
        <f>SUM(82)</f>
        <v>82</v>
      </c>
      <c r="D29" s="3">
        <v>0</v>
      </c>
      <c r="E29" s="3">
        <f>SUM(53.6+84)</f>
        <v>137.6</v>
      </c>
      <c r="G29" s="3">
        <v>52.5</v>
      </c>
      <c r="H29" s="3">
        <v>224.85</v>
      </c>
      <c r="I29" s="3">
        <v>281</v>
      </c>
      <c r="J29" s="3">
        <v>386</v>
      </c>
      <c r="K29" s="3">
        <v>122</v>
      </c>
      <c r="N29" s="3"/>
      <c r="O29" s="3"/>
    </row>
    <row r="30" spans="1:21" ht="15.75" x14ac:dyDescent="0.5">
      <c r="A30" s="4" t="s">
        <v>31</v>
      </c>
      <c r="B30" s="3">
        <f t="shared" si="0"/>
        <v>1526.6</v>
      </c>
      <c r="C30" s="3">
        <f>SUM(54+80+53.6+80+80)</f>
        <v>347.6</v>
      </c>
      <c r="D30" s="3">
        <f>SUM(46+30+50+52+83+40.5+80)</f>
        <v>381.5</v>
      </c>
      <c r="E30" s="3">
        <f>SUM(53+80+50+67+36)</f>
        <v>286</v>
      </c>
      <c r="F30" s="3">
        <f>SUM(32+80+51+67+45+51)</f>
        <v>326</v>
      </c>
      <c r="G30" s="3">
        <v>143.5</v>
      </c>
      <c r="H30" s="3">
        <v>42</v>
      </c>
      <c r="N30" s="3"/>
      <c r="O30" s="3"/>
    </row>
    <row r="31" spans="1:21" s="3" customFormat="1" ht="15.75" x14ac:dyDescent="0.5">
      <c r="A31" s="4" t="s">
        <v>32</v>
      </c>
      <c r="B31" s="3">
        <f t="shared" si="0"/>
        <v>1139</v>
      </c>
      <c r="C31" s="3">
        <f>SUM(53.6+55)</f>
        <v>108.6</v>
      </c>
      <c r="D31" s="3">
        <f>SUM(120+84+85+84)</f>
        <v>373</v>
      </c>
      <c r="E31" s="3">
        <f>SUM(50+80.4+53+89+85)</f>
        <v>357.4</v>
      </c>
      <c r="F31" s="3">
        <f>SUM(51+67+88+52)</f>
        <v>258</v>
      </c>
      <c r="G31" s="3">
        <v>42</v>
      </c>
    </row>
    <row r="32" spans="1:21" s="5" customFormat="1" ht="15.75" x14ac:dyDescent="0.5">
      <c r="A32" s="4" t="s">
        <v>33</v>
      </c>
      <c r="B32" s="3">
        <f t="shared" si="0"/>
        <v>1017.85</v>
      </c>
      <c r="C32" s="3">
        <f>SUM(54)</f>
        <v>54</v>
      </c>
      <c r="D32" s="3">
        <f>SUM(50+54+53+52)</f>
        <v>209</v>
      </c>
      <c r="E32" s="3">
        <f>SUM(52+51)</f>
        <v>103</v>
      </c>
      <c r="F32" s="3">
        <f>SUM(80+80)</f>
        <v>160</v>
      </c>
      <c r="G32" s="3">
        <v>262</v>
      </c>
      <c r="H32" s="3">
        <v>187.85</v>
      </c>
      <c r="I32" s="3">
        <v>42</v>
      </c>
      <c r="N32" s="3"/>
      <c r="O32" s="3"/>
    </row>
    <row r="33" spans="1:22" ht="15.75" x14ac:dyDescent="0.5">
      <c r="A33" s="4" t="s">
        <v>34</v>
      </c>
      <c r="B33" s="3">
        <f t="shared" si="0"/>
        <v>959.85</v>
      </c>
      <c r="C33" s="3">
        <f>SUM(30+59)</f>
        <v>89</v>
      </c>
      <c r="D33" s="3">
        <f>SUM(52)</f>
        <v>52</v>
      </c>
      <c r="E33" s="3">
        <f>SUM(34+50+52)</f>
        <v>136</v>
      </c>
      <c r="F33" s="3">
        <f>SUM(30+53+34+62)</f>
        <v>179</v>
      </c>
      <c r="G33" s="3">
        <v>52.5</v>
      </c>
      <c r="H33" s="3">
        <v>187.85</v>
      </c>
      <c r="I33" s="3">
        <v>229.5</v>
      </c>
      <c r="J33" s="3">
        <v>34</v>
      </c>
      <c r="N33" s="3"/>
      <c r="O33" s="3"/>
    </row>
    <row r="34" spans="1:22" ht="15.75" x14ac:dyDescent="0.5">
      <c r="A34" s="4" t="s">
        <v>35</v>
      </c>
      <c r="B34" s="3">
        <f t="shared" si="0"/>
        <v>868.6</v>
      </c>
      <c r="C34" s="3">
        <v>0</v>
      </c>
      <c r="D34" s="3">
        <f>SUM(80+83)</f>
        <v>163</v>
      </c>
      <c r="E34" s="3">
        <f>SUM(53.6+120+59+81)</f>
        <v>313.60000000000002</v>
      </c>
      <c r="F34" s="3">
        <f>SUM(34+54+81)</f>
        <v>169</v>
      </c>
      <c r="G34" s="3">
        <v>181</v>
      </c>
      <c r="H34" s="3">
        <v>42</v>
      </c>
      <c r="N34" s="3"/>
      <c r="O34" s="3"/>
    </row>
    <row r="35" spans="1:22" ht="15.75" x14ac:dyDescent="0.5">
      <c r="A35" s="4" t="s">
        <v>36</v>
      </c>
      <c r="B35" s="3">
        <f t="shared" si="0"/>
        <v>1037</v>
      </c>
      <c r="C35" s="3">
        <f>SUM(120+50)</f>
        <v>170</v>
      </c>
      <c r="D35" s="3">
        <f>SUM(54+80+85+120)</f>
        <v>339</v>
      </c>
      <c r="E35" s="3">
        <f>SUM(50+52+81+84+81)</f>
        <v>348</v>
      </c>
      <c r="F35" s="3">
        <f>SUM(37+52)</f>
        <v>89</v>
      </c>
      <c r="L35" s="3">
        <v>51</v>
      </c>
      <c r="M35" s="3">
        <v>40</v>
      </c>
      <c r="N35" s="3"/>
      <c r="O35" s="3"/>
    </row>
    <row r="36" spans="1:22" ht="15.75" x14ac:dyDescent="0.5">
      <c r="A36" s="4" t="s">
        <v>37</v>
      </c>
      <c r="B36" s="3">
        <f t="shared" si="0"/>
        <v>1202.0999999999999</v>
      </c>
      <c r="C36" s="3">
        <f>SUM(53.6+53.6+120+80+82)</f>
        <v>389.2</v>
      </c>
      <c r="D36" s="3">
        <f>SUM(54+80+53+67+32)</f>
        <v>286</v>
      </c>
      <c r="E36" s="3">
        <f>SUM(80.4+80+67+84)</f>
        <v>311.39999999999998</v>
      </c>
      <c r="F36" s="3">
        <f>SUM(54+67+52)</f>
        <v>173</v>
      </c>
      <c r="G36" s="3">
        <v>42.5</v>
      </c>
      <c r="N36" s="3"/>
      <c r="O36" s="3"/>
    </row>
    <row r="37" spans="1:22" ht="15.75" x14ac:dyDescent="0.5">
      <c r="A37" s="4" t="s">
        <v>38</v>
      </c>
      <c r="B37" s="3">
        <f t="shared" si="0"/>
        <v>1119.8</v>
      </c>
      <c r="C37" s="3">
        <f>SUM(54+35+60+30+50+80)</f>
        <v>309</v>
      </c>
      <c r="D37" s="3">
        <f>SUM(35+30+52+52)</f>
        <v>169</v>
      </c>
      <c r="I37" s="3">
        <v>101</v>
      </c>
      <c r="J37" s="3">
        <v>197.8</v>
      </c>
      <c r="K37" s="3">
        <v>343</v>
      </c>
      <c r="L37" s="5"/>
      <c r="M37" s="5"/>
      <c r="N37" s="3"/>
      <c r="O37" s="3"/>
      <c r="P37" s="5"/>
      <c r="Q37" s="5"/>
      <c r="R37" s="5"/>
      <c r="S37" s="5"/>
      <c r="T37" s="5"/>
      <c r="U37" s="5"/>
    </row>
    <row r="38" spans="1:22" ht="15.75" x14ac:dyDescent="0.5">
      <c r="A38" s="4" t="s">
        <v>39</v>
      </c>
      <c r="B38" s="3">
        <f t="shared" si="0"/>
        <v>804.35</v>
      </c>
      <c r="C38" s="3">
        <v>0</v>
      </c>
      <c r="D38" s="3">
        <v>0</v>
      </c>
      <c r="F38" s="3">
        <f>SUM(53+80+67)</f>
        <v>200</v>
      </c>
      <c r="G38" s="3">
        <v>80</v>
      </c>
      <c r="H38" s="3">
        <v>425.85</v>
      </c>
      <c r="I38" s="3">
        <v>98.5</v>
      </c>
      <c r="N38" s="3"/>
      <c r="O38" s="3"/>
    </row>
    <row r="39" spans="1:22" ht="15.75" x14ac:dyDescent="0.5">
      <c r="A39" s="4" t="s">
        <v>40</v>
      </c>
      <c r="B39" s="3">
        <f t="shared" si="0"/>
        <v>744.3</v>
      </c>
      <c r="C39" s="3">
        <v>0</v>
      </c>
      <c r="D39" s="3">
        <v>0</v>
      </c>
      <c r="F39" s="3">
        <f>SUM(34+67+51)</f>
        <v>152</v>
      </c>
      <c r="I39" s="3">
        <v>84</v>
      </c>
      <c r="J39" s="3">
        <v>345.3</v>
      </c>
      <c r="K39" s="3">
        <v>163</v>
      </c>
      <c r="N39" s="3"/>
      <c r="O39" s="3"/>
    </row>
    <row r="40" spans="1:22" ht="15.75" x14ac:dyDescent="0.5">
      <c r="A40" s="4" t="s">
        <v>41</v>
      </c>
      <c r="B40" s="3">
        <f t="shared" si="0"/>
        <v>712.5</v>
      </c>
      <c r="C40" s="3">
        <v>0</v>
      </c>
      <c r="D40" s="3">
        <f>SUM(34)</f>
        <v>34</v>
      </c>
      <c r="E40" s="3">
        <f>SUM(50)</f>
        <v>50</v>
      </c>
      <c r="F40" s="3">
        <f>SUM(54+53+51+67)</f>
        <v>225</v>
      </c>
      <c r="G40" s="3">
        <v>197</v>
      </c>
      <c r="H40" s="3">
        <v>124.5</v>
      </c>
      <c r="I40" s="3">
        <v>82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2" ht="15.75" x14ac:dyDescent="0.5">
      <c r="A41" s="4" t="s">
        <v>42</v>
      </c>
      <c r="B41" s="3">
        <f t="shared" si="0"/>
        <v>696.5</v>
      </c>
      <c r="C41" s="3">
        <v>0</v>
      </c>
      <c r="D41" s="3">
        <f>SUM(32)</f>
        <v>32</v>
      </c>
      <c r="E41" s="3">
        <f>SUM(50)</f>
        <v>50</v>
      </c>
      <c r="F41" s="3">
        <f>SUM(30+34+34+39)</f>
        <v>137</v>
      </c>
      <c r="G41" s="3">
        <v>42.5</v>
      </c>
      <c r="H41" s="3">
        <v>171</v>
      </c>
      <c r="I41" s="3">
        <v>124</v>
      </c>
      <c r="K41" s="3">
        <v>71</v>
      </c>
      <c r="M41" s="3">
        <v>69</v>
      </c>
      <c r="N41" s="3"/>
      <c r="O41" s="3"/>
    </row>
    <row r="42" spans="1:22" ht="15.75" x14ac:dyDescent="0.5">
      <c r="A42" s="4" t="s">
        <v>43</v>
      </c>
      <c r="B42" s="3">
        <f t="shared" si="0"/>
        <v>688</v>
      </c>
      <c r="C42" s="3">
        <v>0</v>
      </c>
      <c r="D42" s="3">
        <v>0</v>
      </c>
      <c r="K42" s="3">
        <v>128</v>
      </c>
      <c r="L42" s="3">
        <v>265</v>
      </c>
      <c r="M42" s="3">
        <v>295</v>
      </c>
      <c r="N42" s="3"/>
      <c r="O42" s="3"/>
      <c r="P42" s="5"/>
      <c r="Q42" s="5"/>
      <c r="R42" s="5"/>
      <c r="S42" s="5"/>
      <c r="T42" s="5"/>
      <c r="U42" s="5"/>
    </row>
    <row r="43" spans="1:22" ht="15.75" x14ac:dyDescent="0.5">
      <c r="A43" s="4" t="s">
        <v>44</v>
      </c>
      <c r="B43" s="3">
        <f t="shared" si="0"/>
        <v>680</v>
      </c>
      <c r="C43" s="3">
        <v>0</v>
      </c>
      <c r="D43" s="3">
        <f>SUM(34)</f>
        <v>34</v>
      </c>
      <c r="F43" s="3">
        <f>SUM(51)</f>
        <v>51</v>
      </c>
      <c r="I43" s="3">
        <v>85</v>
      </c>
      <c r="J43" s="3">
        <v>144</v>
      </c>
      <c r="K43" s="3">
        <v>142</v>
      </c>
      <c r="L43" s="3">
        <v>224</v>
      </c>
      <c r="N43" s="3"/>
      <c r="O43" s="3"/>
    </row>
    <row r="44" spans="1:22" ht="15.75" x14ac:dyDescent="0.5">
      <c r="A44" s="4" t="s">
        <v>45</v>
      </c>
      <c r="B44" s="3">
        <f t="shared" si="0"/>
        <v>972</v>
      </c>
      <c r="C44" s="3">
        <f>SUM(54+120+120)</f>
        <v>294</v>
      </c>
      <c r="D44" s="3">
        <f>SUM(46+80+84+85+80)</f>
        <v>375</v>
      </c>
      <c r="E44" s="3">
        <f>SUM(42+50+67+85+59)</f>
        <v>303</v>
      </c>
      <c r="V44" s="3"/>
    </row>
    <row r="45" spans="1:22" ht="15.75" x14ac:dyDescent="0.5">
      <c r="A45" s="4" t="s">
        <v>46</v>
      </c>
      <c r="B45" s="3">
        <f t="shared" si="0"/>
        <v>650</v>
      </c>
      <c r="C45" s="3">
        <v>0</v>
      </c>
      <c r="D45" s="3">
        <v>0</v>
      </c>
      <c r="F45" s="3">
        <f>SUM(39+38.5)</f>
        <v>77.5</v>
      </c>
      <c r="G45" s="3">
        <v>42</v>
      </c>
      <c r="I45" s="3">
        <v>137.5</v>
      </c>
      <c r="J45" s="3">
        <v>85</v>
      </c>
      <c r="K45" s="3">
        <v>111</v>
      </c>
      <c r="M45" s="3">
        <v>157</v>
      </c>
      <c r="N45" s="3">
        <v>40</v>
      </c>
      <c r="O45" s="3"/>
    </row>
    <row r="46" spans="1:22" ht="15.75" x14ac:dyDescent="0.5">
      <c r="A46" s="4" t="s">
        <v>47</v>
      </c>
      <c r="B46" s="3">
        <f t="shared" si="0"/>
        <v>640</v>
      </c>
      <c r="C46" s="3">
        <v>0</v>
      </c>
      <c r="D46" s="3">
        <f>SUM(42.4)</f>
        <v>42.4</v>
      </c>
      <c r="E46" s="3">
        <f>SUM(30.6+30.6+48.4)</f>
        <v>109.6</v>
      </c>
      <c r="H46" s="3">
        <v>59</v>
      </c>
      <c r="K46" s="3">
        <v>59</v>
      </c>
      <c r="L46" s="3">
        <v>285</v>
      </c>
      <c r="M46" s="3">
        <v>85</v>
      </c>
      <c r="N46" s="3"/>
      <c r="O46" s="3"/>
    </row>
    <row r="47" spans="1:22" ht="15.75" x14ac:dyDescent="0.5">
      <c r="A47" s="4" t="s">
        <v>48</v>
      </c>
      <c r="B47" s="3">
        <f t="shared" si="0"/>
        <v>693.6</v>
      </c>
      <c r="C47" s="3">
        <f>SUM(60)</f>
        <v>60</v>
      </c>
      <c r="D47" s="3">
        <f>SUM(30+53+83+32)</f>
        <v>198</v>
      </c>
      <c r="E47" s="3">
        <f>SUM(50+53.6+52+51)</f>
        <v>206.6</v>
      </c>
      <c r="F47" s="3">
        <f>SUM(34+45+62+88)</f>
        <v>229</v>
      </c>
    </row>
    <row r="48" spans="1:22" ht="15.75" x14ac:dyDescent="0.5">
      <c r="A48" s="4" t="s">
        <v>49</v>
      </c>
      <c r="B48" s="3">
        <f t="shared" si="0"/>
        <v>875.1</v>
      </c>
      <c r="C48" s="3">
        <f>SUM(64+53.6+60+80)</f>
        <v>257.60000000000002</v>
      </c>
      <c r="D48" s="3">
        <f>SUM(54+34+31+34+32)</f>
        <v>185</v>
      </c>
      <c r="E48" s="3">
        <f>SUM(50+81+67+85)</f>
        <v>283</v>
      </c>
      <c r="F48" s="3">
        <f>SUM(54+53)</f>
        <v>107</v>
      </c>
      <c r="H48" s="3">
        <v>42.5</v>
      </c>
      <c r="N48" s="3"/>
      <c r="O48" s="3"/>
    </row>
    <row r="49" spans="1:21" ht="15.75" x14ac:dyDescent="0.5">
      <c r="A49" s="4" t="s">
        <v>50</v>
      </c>
      <c r="B49" s="3">
        <f t="shared" si="0"/>
        <v>713.5</v>
      </c>
      <c r="C49" s="3">
        <f>SUM(120)</f>
        <v>120</v>
      </c>
      <c r="D49" s="3">
        <f>SUM(54+84+83+40.5+80+32)</f>
        <v>373.5</v>
      </c>
      <c r="E49" s="3">
        <f>SUM(31+67+51)</f>
        <v>149</v>
      </c>
      <c r="F49" s="3">
        <f>SUM(37+34)</f>
        <v>71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5.75" x14ac:dyDescent="0.5">
      <c r="A50" s="4" t="s">
        <v>51</v>
      </c>
      <c r="B50" s="3">
        <f t="shared" si="0"/>
        <v>777.7</v>
      </c>
      <c r="C50" s="3">
        <f>SUM(55+53.6+80)</f>
        <v>188.6</v>
      </c>
      <c r="D50" s="3">
        <f>SUM(33.6+42.4+42.4+82.4+82.4+100)</f>
        <v>383.20000000000005</v>
      </c>
      <c r="E50" s="3">
        <f>SUM(30.6+45.9+48.4+81)</f>
        <v>205.9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5.75" x14ac:dyDescent="0.5">
      <c r="A51" s="4" t="s">
        <v>52</v>
      </c>
      <c r="B51" s="3">
        <f t="shared" si="0"/>
        <v>847.6</v>
      </c>
      <c r="C51" s="3">
        <f>SUM(53.6+49+80+80)</f>
        <v>262.60000000000002</v>
      </c>
      <c r="D51" s="3">
        <f>SUM(54+50+53+31+44)</f>
        <v>232</v>
      </c>
      <c r="E51" s="3">
        <f>SUM(53+50+38)</f>
        <v>141</v>
      </c>
      <c r="F51" s="3">
        <f>SUM(80)</f>
        <v>80</v>
      </c>
      <c r="G51" s="3">
        <v>132</v>
      </c>
      <c r="N51" s="3"/>
      <c r="O51" s="3"/>
    </row>
    <row r="52" spans="1:21" ht="15.75" x14ac:dyDescent="0.5">
      <c r="A52" s="4" t="s">
        <v>53</v>
      </c>
      <c r="B52" s="3">
        <f t="shared" si="0"/>
        <v>585</v>
      </c>
      <c r="C52" s="3">
        <v>0</v>
      </c>
      <c r="D52" s="3">
        <v>0</v>
      </c>
      <c r="G52" s="3">
        <v>112.5</v>
      </c>
      <c r="I52" s="3">
        <v>219.5</v>
      </c>
      <c r="J52" s="3">
        <v>162</v>
      </c>
      <c r="K52" s="3">
        <v>91</v>
      </c>
      <c r="N52" s="3"/>
      <c r="O52" s="3"/>
    </row>
    <row r="53" spans="1:21" ht="15.75" x14ac:dyDescent="0.5">
      <c r="A53" s="4" t="s">
        <v>54</v>
      </c>
      <c r="B53" s="3">
        <f t="shared" si="0"/>
        <v>655.4</v>
      </c>
      <c r="C53" s="3">
        <f>SUM(80)</f>
        <v>80</v>
      </c>
      <c r="D53" s="3">
        <f>SUM(67)</f>
        <v>67</v>
      </c>
      <c r="E53" s="3">
        <f>SUM(80.4+84+85+81)</f>
        <v>330.4</v>
      </c>
      <c r="F53" s="3">
        <f>SUM(30+45+51+52)</f>
        <v>178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5.75" x14ac:dyDescent="0.5">
      <c r="A54" s="8" t="s">
        <v>55</v>
      </c>
      <c r="B54" s="3">
        <f t="shared" si="0"/>
        <v>626.6</v>
      </c>
      <c r="C54" s="3">
        <f>SUM(53.6)</f>
        <v>53.6</v>
      </c>
      <c r="D54" s="3">
        <f>SUM(42.4+42.4+32.8+42.4+82.4+82.4+80+84)</f>
        <v>488.8</v>
      </c>
      <c r="E54" s="3">
        <f>SUM(34.6+49.6)</f>
        <v>84.2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.75" x14ac:dyDescent="0.5">
      <c r="A55" s="4" t="s">
        <v>56</v>
      </c>
      <c r="B55" s="3">
        <f t="shared" si="0"/>
        <v>525.35</v>
      </c>
      <c r="C55" s="3">
        <v>0</v>
      </c>
      <c r="D55" s="3">
        <v>0</v>
      </c>
      <c r="H55" s="3">
        <v>62.85</v>
      </c>
      <c r="I55" s="3">
        <v>378.5</v>
      </c>
      <c r="J55" s="3">
        <v>84</v>
      </c>
      <c r="N55" s="3"/>
      <c r="O55" s="3"/>
    </row>
    <row r="56" spans="1:21" ht="15.75" x14ac:dyDescent="0.5">
      <c r="A56" s="4" t="s">
        <v>57</v>
      </c>
      <c r="B56" s="3">
        <f t="shared" si="0"/>
        <v>644.1</v>
      </c>
      <c r="C56" s="3">
        <f>SUM(120)</f>
        <v>120</v>
      </c>
      <c r="D56" s="3">
        <f>SUM(83+80+80)</f>
        <v>243</v>
      </c>
      <c r="E56" s="3">
        <f>SUM(53.6)</f>
        <v>53.6</v>
      </c>
      <c r="F56" s="3">
        <f>SUM(52)</f>
        <v>52</v>
      </c>
      <c r="G56" s="3">
        <v>93.5</v>
      </c>
      <c r="H56" s="3">
        <v>40</v>
      </c>
      <c r="I56" s="3">
        <v>42</v>
      </c>
      <c r="J56" s="5"/>
      <c r="K56" s="5"/>
      <c r="L56" s="5"/>
      <c r="M56" s="5"/>
      <c r="N56" s="3"/>
      <c r="O56" s="3"/>
      <c r="P56" s="5"/>
      <c r="Q56" s="5"/>
      <c r="R56" s="5"/>
      <c r="S56" s="5"/>
      <c r="T56" s="5"/>
      <c r="U56" s="5"/>
    </row>
    <row r="57" spans="1:21" ht="15.75" x14ac:dyDescent="0.5">
      <c r="A57" s="4" t="s">
        <v>58</v>
      </c>
      <c r="B57" s="3">
        <f t="shared" si="0"/>
        <v>522</v>
      </c>
      <c r="C57" s="3">
        <v>0</v>
      </c>
      <c r="D57" s="3">
        <v>0</v>
      </c>
      <c r="J57" s="3">
        <v>301</v>
      </c>
      <c r="K57" s="3">
        <v>221</v>
      </c>
      <c r="N57" s="3"/>
      <c r="O57" s="3"/>
    </row>
    <row r="58" spans="1:21" ht="15.75" x14ac:dyDescent="0.5">
      <c r="A58" s="4" t="s">
        <v>59</v>
      </c>
      <c r="B58" s="3">
        <f t="shared" si="0"/>
        <v>519</v>
      </c>
      <c r="C58" s="3">
        <v>0</v>
      </c>
      <c r="D58" s="3">
        <v>0</v>
      </c>
      <c r="K58" s="3">
        <v>135</v>
      </c>
      <c r="L58" s="3">
        <v>191</v>
      </c>
      <c r="M58" s="3">
        <v>193</v>
      </c>
      <c r="N58" s="3"/>
      <c r="O58" s="3"/>
    </row>
    <row r="59" spans="1:21" ht="15.75" x14ac:dyDescent="0.5">
      <c r="A59" s="4" t="s">
        <v>60</v>
      </c>
      <c r="B59" s="3">
        <f t="shared" si="0"/>
        <v>475</v>
      </c>
      <c r="C59" s="3">
        <v>0</v>
      </c>
      <c r="D59" s="3">
        <v>0</v>
      </c>
      <c r="M59" s="3">
        <v>237</v>
      </c>
      <c r="N59" s="3">
        <v>238</v>
      </c>
      <c r="O59" s="3"/>
    </row>
    <row r="60" spans="1:21" ht="15.75" x14ac:dyDescent="0.5">
      <c r="A60" s="4" t="s">
        <v>61</v>
      </c>
      <c r="B60" s="3">
        <f t="shared" si="0"/>
        <v>461.6</v>
      </c>
      <c r="C60" s="3">
        <v>0</v>
      </c>
      <c r="D60" s="3">
        <f>SUM(83+67+80)</f>
        <v>230</v>
      </c>
      <c r="E60" s="3">
        <f>SUM(31.6+67+52+81)</f>
        <v>231.6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.75" x14ac:dyDescent="0.5">
      <c r="A61" s="4" t="s">
        <v>62</v>
      </c>
      <c r="B61" s="3">
        <f t="shared" si="0"/>
        <v>651.1</v>
      </c>
      <c r="C61" s="3">
        <f>SUM(60+53.6+80)</f>
        <v>193.6</v>
      </c>
      <c r="D61" s="3">
        <f>SUM(30+32+31+40.5+56)</f>
        <v>189.5</v>
      </c>
      <c r="E61" s="5"/>
      <c r="F61" s="3">
        <f>SUM(81+53)</f>
        <v>134</v>
      </c>
      <c r="G61" s="3">
        <v>50</v>
      </c>
      <c r="H61" s="5"/>
      <c r="I61" s="3">
        <v>84</v>
      </c>
      <c r="J61" s="5"/>
      <c r="K61" s="5"/>
      <c r="L61" s="5"/>
      <c r="M61" s="5"/>
      <c r="N61" s="3"/>
      <c r="O61" s="3"/>
      <c r="P61" s="5"/>
      <c r="Q61" s="5"/>
      <c r="R61" s="5"/>
      <c r="S61" s="5"/>
      <c r="T61" s="5"/>
      <c r="U61" s="5"/>
    </row>
    <row r="62" spans="1:21" ht="15.75" x14ac:dyDescent="0.5">
      <c r="A62" s="4" t="s">
        <v>63</v>
      </c>
      <c r="B62" s="3">
        <f t="shared" si="0"/>
        <v>457</v>
      </c>
      <c r="C62" s="3">
        <v>0</v>
      </c>
      <c r="D62" s="3">
        <v>0</v>
      </c>
      <c r="M62" s="3">
        <v>212</v>
      </c>
      <c r="N62" s="3">
        <v>245</v>
      </c>
      <c r="O62" s="3"/>
    </row>
    <row r="63" spans="1:21" ht="15.75" x14ac:dyDescent="0.5">
      <c r="A63" s="4" t="s">
        <v>64</v>
      </c>
      <c r="B63" s="3">
        <f t="shared" si="0"/>
        <v>645.20000000000005</v>
      </c>
      <c r="C63" s="3">
        <f>SUM(53.6+55+80)</f>
        <v>188.6</v>
      </c>
      <c r="D63" s="3">
        <f>SUM(54+80+34+56)</f>
        <v>224</v>
      </c>
      <c r="E63" s="3">
        <f>SUM(53.6+85+57)</f>
        <v>195.6</v>
      </c>
      <c r="F63" s="3">
        <f>SUM(37)</f>
        <v>37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.75" x14ac:dyDescent="0.5">
      <c r="A64" s="9" t="s">
        <v>65</v>
      </c>
      <c r="B64" s="3">
        <f t="shared" si="0"/>
        <v>655.6</v>
      </c>
      <c r="C64" s="3">
        <f>SUM(80+120)</f>
        <v>200</v>
      </c>
      <c r="D64" s="3">
        <f>SUM(33.6+52+50+80+80+80+80)</f>
        <v>455.6</v>
      </c>
    </row>
    <row r="65" spans="1:23" ht="15.75" x14ac:dyDescent="0.5">
      <c r="A65" s="4" t="s">
        <v>66</v>
      </c>
      <c r="B65" s="3">
        <f t="shared" si="0"/>
        <v>455</v>
      </c>
      <c r="C65" s="3">
        <v>0</v>
      </c>
      <c r="D65" s="3">
        <v>0</v>
      </c>
      <c r="K65" s="3">
        <v>80</v>
      </c>
      <c r="L65" s="3">
        <v>53</v>
      </c>
      <c r="M65" s="3">
        <v>30</v>
      </c>
      <c r="N65" s="3"/>
      <c r="O65" s="3">
        <v>211</v>
      </c>
      <c r="P65" s="3">
        <v>51</v>
      </c>
      <c r="Q65" s="3">
        <v>30</v>
      </c>
    </row>
    <row r="66" spans="1:23" ht="15.75" x14ac:dyDescent="0.5">
      <c r="A66" s="4" t="s">
        <v>67</v>
      </c>
      <c r="B66" s="3">
        <f t="shared" ref="B66:B129" si="1">SUM(C66:U66)</f>
        <v>600.45000000000005</v>
      </c>
      <c r="C66" s="3">
        <f>SUM(54+53.6+49)</f>
        <v>156.6</v>
      </c>
      <c r="D66" s="3">
        <v>0</v>
      </c>
      <c r="E66" s="3">
        <f>SUM(31)</f>
        <v>31</v>
      </c>
      <c r="H66" s="3">
        <v>160.85</v>
      </c>
      <c r="J66" s="3">
        <v>55</v>
      </c>
      <c r="K66" s="3">
        <v>197</v>
      </c>
      <c r="N66" s="3"/>
      <c r="O66" s="3"/>
    </row>
    <row r="67" spans="1:23" ht="15.75" x14ac:dyDescent="0.5">
      <c r="A67" s="4" t="s">
        <v>68</v>
      </c>
      <c r="B67" s="3">
        <f t="shared" si="1"/>
        <v>441</v>
      </c>
      <c r="C67" s="3">
        <v>0</v>
      </c>
      <c r="D67" s="3">
        <v>0</v>
      </c>
      <c r="J67" s="3">
        <v>120</v>
      </c>
      <c r="K67" s="3">
        <v>321</v>
      </c>
      <c r="N67" s="3"/>
      <c r="O67" s="3"/>
    </row>
    <row r="68" spans="1:23" s="3" customFormat="1" ht="15.75" x14ac:dyDescent="0.5">
      <c r="A68" s="4" t="s">
        <v>69</v>
      </c>
      <c r="B68" s="3">
        <f t="shared" si="1"/>
        <v>725.1</v>
      </c>
      <c r="C68" s="3">
        <f>SUM(54+53.6+60+52+40+50)</f>
        <v>309.60000000000002</v>
      </c>
      <c r="D68" s="3">
        <f>SUM(46+54+53+52+31+40.5)</f>
        <v>276.5</v>
      </c>
      <c r="E68" s="3">
        <f>SUM(31+51+57)</f>
        <v>139</v>
      </c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</row>
    <row r="69" spans="1:23" s="5" customFormat="1" ht="15.75" x14ac:dyDescent="0.5">
      <c r="A69" s="7" t="s">
        <v>70</v>
      </c>
      <c r="B69" s="3">
        <f t="shared" si="1"/>
        <v>401.6</v>
      </c>
      <c r="C69" s="3">
        <v>0</v>
      </c>
      <c r="D69" s="3">
        <f>SUM(54+52)</f>
        <v>106</v>
      </c>
      <c r="E69" s="3">
        <f>SUM(53.6+50+51+57)</f>
        <v>211.6</v>
      </c>
      <c r="F69" s="3">
        <f>SUM(39+45)</f>
        <v>84</v>
      </c>
    </row>
    <row r="70" spans="1:23" s="3" customFormat="1" ht="15.75" x14ac:dyDescent="0.5">
      <c r="A70" s="4" t="s">
        <v>71</v>
      </c>
      <c r="B70" s="3">
        <f t="shared" si="1"/>
        <v>397</v>
      </c>
      <c r="C70" s="3">
        <v>0</v>
      </c>
      <c r="D70" s="3">
        <f>SUM(52)</f>
        <v>52</v>
      </c>
      <c r="E70" s="3">
        <f>SUM(34+52)</f>
        <v>86</v>
      </c>
      <c r="L70" s="3">
        <v>176</v>
      </c>
      <c r="M70" s="3">
        <v>83</v>
      </c>
    </row>
    <row r="71" spans="1:23" ht="15.75" x14ac:dyDescent="0.5">
      <c r="A71" s="4" t="s">
        <v>72</v>
      </c>
      <c r="B71" s="3">
        <f t="shared" si="1"/>
        <v>385.2</v>
      </c>
      <c r="C71" s="3">
        <v>0</v>
      </c>
      <c r="D71" s="3">
        <v>0</v>
      </c>
      <c r="F71" s="3">
        <f>SUM(39)</f>
        <v>39</v>
      </c>
      <c r="H71" s="3">
        <v>166.2</v>
      </c>
      <c r="I71" s="3">
        <v>180</v>
      </c>
      <c r="N71" s="3"/>
      <c r="O71" s="3"/>
      <c r="V71" s="5"/>
      <c r="W71" s="5"/>
    </row>
    <row r="72" spans="1:23" ht="15.75" x14ac:dyDescent="0.5">
      <c r="A72" s="4" t="s">
        <v>73</v>
      </c>
      <c r="B72" s="3">
        <f t="shared" si="1"/>
        <v>374.85</v>
      </c>
      <c r="C72" s="3">
        <v>0</v>
      </c>
      <c r="D72" s="3">
        <v>0</v>
      </c>
      <c r="G72" s="3">
        <v>105</v>
      </c>
      <c r="H72" s="3">
        <v>160.85</v>
      </c>
      <c r="J72" s="3">
        <v>40</v>
      </c>
      <c r="K72" s="3">
        <v>69</v>
      </c>
      <c r="N72" s="3"/>
      <c r="O72" s="3"/>
      <c r="V72" s="5"/>
      <c r="W72" s="5"/>
    </row>
    <row r="73" spans="1:23" ht="15.75" x14ac:dyDescent="0.5">
      <c r="A73" s="4" t="s">
        <v>74</v>
      </c>
      <c r="B73" s="3">
        <f t="shared" si="1"/>
        <v>370.5</v>
      </c>
      <c r="C73" s="3">
        <v>0</v>
      </c>
      <c r="D73" s="3">
        <v>0</v>
      </c>
      <c r="E73" s="3">
        <f>SUM(34+57)</f>
        <v>91</v>
      </c>
      <c r="F73" s="3">
        <f>SUM(80+34)</f>
        <v>114</v>
      </c>
      <c r="G73" s="3">
        <v>165.5</v>
      </c>
      <c r="N73" s="3"/>
      <c r="O73" s="3"/>
      <c r="V73" s="5"/>
      <c r="W73" s="5"/>
    </row>
    <row r="74" spans="1:23" ht="15.75" x14ac:dyDescent="0.5">
      <c r="A74" s="4" t="s">
        <v>75</v>
      </c>
      <c r="B74" s="3">
        <f t="shared" si="1"/>
        <v>512.1</v>
      </c>
      <c r="C74" s="3">
        <f>SUM(49+53.6+40)</f>
        <v>142.6</v>
      </c>
      <c r="D74" s="3">
        <f>SUM(30+50+53+52+40.5+56)</f>
        <v>281.5</v>
      </c>
      <c r="E74" s="3">
        <f>SUM(51)</f>
        <v>51</v>
      </c>
      <c r="F74" s="3">
        <f>SUM(37)</f>
        <v>37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ht="15.75" x14ac:dyDescent="0.5">
      <c r="A75" s="4" t="s">
        <v>76</v>
      </c>
      <c r="B75" s="3">
        <f t="shared" si="1"/>
        <v>361</v>
      </c>
      <c r="C75" s="3">
        <v>0</v>
      </c>
      <c r="D75" s="3">
        <v>0</v>
      </c>
      <c r="F75" s="3">
        <f>SUM(53+39+62)</f>
        <v>154</v>
      </c>
      <c r="G75" s="3">
        <v>42</v>
      </c>
      <c r="M75" s="3">
        <v>165</v>
      </c>
      <c r="N75" s="3"/>
      <c r="O75" s="3"/>
      <c r="V75" s="5"/>
      <c r="W75" s="5"/>
    </row>
    <row r="76" spans="1:23" ht="15.75" x14ac:dyDescent="0.5">
      <c r="A76" s="4" t="s">
        <v>77</v>
      </c>
      <c r="B76" s="3">
        <f t="shared" si="1"/>
        <v>361</v>
      </c>
      <c r="C76" s="3">
        <v>0</v>
      </c>
      <c r="D76" s="3">
        <v>0</v>
      </c>
      <c r="J76" s="3">
        <v>180</v>
      </c>
      <c r="K76" s="3">
        <v>181</v>
      </c>
      <c r="N76" s="3"/>
      <c r="O76" s="3"/>
      <c r="V76" s="5"/>
      <c r="W76" s="5"/>
    </row>
    <row r="77" spans="1:23" ht="15.75" x14ac:dyDescent="0.5">
      <c r="A77" s="4" t="s">
        <v>78</v>
      </c>
      <c r="B77" s="3">
        <f t="shared" si="1"/>
        <v>339</v>
      </c>
      <c r="C77" s="3">
        <v>0</v>
      </c>
      <c r="D77" s="3">
        <f>SUM(50+34)</f>
        <v>84</v>
      </c>
      <c r="E77" s="3">
        <f>SUM(31+36)</f>
        <v>67</v>
      </c>
      <c r="F77" s="3">
        <f>SUM(30+53+34+37+34)</f>
        <v>188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.75" x14ac:dyDescent="0.5">
      <c r="A78" s="4" t="s">
        <v>79</v>
      </c>
      <c r="B78" s="3">
        <f t="shared" si="1"/>
        <v>333</v>
      </c>
      <c r="C78" s="3">
        <v>0</v>
      </c>
      <c r="D78" s="3">
        <v>0</v>
      </c>
      <c r="K78" s="3">
        <v>59</v>
      </c>
      <c r="L78" s="3">
        <v>121</v>
      </c>
      <c r="M78" s="3">
        <v>40</v>
      </c>
      <c r="N78" s="3">
        <v>113</v>
      </c>
      <c r="O78" s="3"/>
      <c r="V78" s="5"/>
      <c r="W78" s="5"/>
    </row>
    <row r="79" spans="1:23" ht="15.75" x14ac:dyDescent="0.5">
      <c r="A79" s="4" t="s">
        <v>80</v>
      </c>
      <c r="B79" s="3">
        <f t="shared" si="1"/>
        <v>432.6</v>
      </c>
      <c r="C79" s="3">
        <f>SUM(49+53.6)</f>
        <v>102.6</v>
      </c>
      <c r="D79" s="3">
        <f>SUM(30+53+56)</f>
        <v>139</v>
      </c>
      <c r="E79" s="3">
        <f>SUM(30+53+51+57)</f>
        <v>191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5.75" x14ac:dyDescent="0.5">
      <c r="A80" s="4" t="s">
        <v>81</v>
      </c>
      <c r="B80" s="3">
        <f t="shared" si="1"/>
        <v>321</v>
      </c>
      <c r="C80" s="3">
        <v>0</v>
      </c>
      <c r="D80" s="3">
        <v>0</v>
      </c>
      <c r="E80" s="5"/>
      <c r="F80" s="3">
        <f>SUM(34)</f>
        <v>34</v>
      </c>
      <c r="G80" s="3">
        <v>45</v>
      </c>
      <c r="H80" s="3">
        <v>42</v>
      </c>
      <c r="I80" s="3">
        <v>42</v>
      </c>
      <c r="J80" s="3">
        <v>121</v>
      </c>
      <c r="K80" s="3">
        <v>37</v>
      </c>
      <c r="L80" s="5"/>
      <c r="M80" s="5"/>
      <c r="N80" s="3"/>
      <c r="O80" s="3"/>
      <c r="P80" s="5"/>
      <c r="Q80" s="5"/>
      <c r="R80" s="5"/>
      <c r="S80" s="5"/>
      <c r="T80" s="5"/>
      <c r="U80" s="5"/>
      <c r="V80" s="5"/>
      <c r="W80" s="5"/>
    </row>
    <row r="81" spans="1:23" ht="15.75" x14ac:dyDescent="0.5">
      <c r="A81" s="4" t="s">
        <v>82</v>
      </c>
      <c r="B81" s="3">
        <f t="shared" si="1"/>
        <v>318.5</v>
      </c>
      <c r="C81" s="3">
        <v>0</v>
      </c>
      <c r="D81" s="3">
        <f>SUM(50+84+40.5)</f>
        <v>174.5</v>
      </c>
      <c r="E81" s="3">
        <f>SUM(53+57)</f>
        <v>110</v>
      </c>
      <c r="F81" s="3">
        <f>SUM(34)</f>
        <v>34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5.75" x14ac:dyDescent="0.5">
      <c r="A82" s="4" t="s">
        <v>83</v>
      </c>
      <c r="B82" s="3">
        <f t="shared" si="1"/>
        <v>314.60000000000002</v>
      </c>
      <c r="C82" s="3">
        <v>0</v>
      </c>
      <c r="D82" s="3">
        <f>SUM(67)</f>
        <v>67</v>
      </c>
      <c r="E82" s="3">
        <f>SUM(53.6+67+51)</f>
        <v>171.6</v>
      </c>
      <c r="F82" s="3">
        <f>SUM(39+37)</f>
        <v>76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ht="15.75" x14ac:dyDescent="0.5">
      <c r="A83" s="4" t="s">
        <v>84</v>
      </c>
      <c r="B83" s="3">
        <f t="shared" si="1"/>
        <v>314.10000000000002</v>
      </c>
      <c r="C83" s="3">
        <v>0</v>
      </c>
      <c r="D83" s="3">
        <f>SUM(50)</f>
        <v>50</v>
      </c>
      <c r="E83" s="3">
        <f>SUM(31.6+52+57)</f>
        <v>140.6</v>
      </c>
      <c r="F83" s="3">
        <f>SUM(34)</f>
        <v>34</v>
      </c>
      <c r="G83" s="3">
        <v>42.5</v>
      </c>
      <c r="H83" s="5"/>
      <c r="I83" s="3">
        <v>47</v>
      </c>
      <c r="J83" s="5"/>
      <c r="K83" s="5"/>
      <c r="L83" s="5"/>
      <c r="M83" s="5"/>
      <c r="N83" s="3"/>
      <c r="O83" s="3"/>
      <c r="P83" s="5"/>
      <c r="Q83" s="5"/>
      <c r="R83" s="5"/>
      <c r="S83" s="5"/>
      <c r="T83" s="5"/>
      <c r="U83" s="5"/>
      <c r="V83" s="5"/>
      <c r="W83" s="5"/>
    </row>
    <row r="84" spans="1:23" ht="15.75" x14ac:dyDescent="0.5">
      <c r="A84" s="4" t="s">
        <v>85</v>
      </c>
      <c r="B84" s="3">
        <f t="shared" si="1"/>
        <v>308.60000000000002</v>
      </c>
      <c r="C84" s="3">
        <v>0</v>
      </c>
      <c r="D84" s="3">
        <f>SUM(32.8+32.8)</f>
        <v>65.599999999999994</v>
      </c>
      <c r="E84" s="5"/>
      <c r="F84" s="5"/>
      <c r="G84" s="5"/>
      <c r="H84" s="5"/>
      <c r="I84" s="5"/>
      <c r="J84" s="5"/>
      <c r="K84" s="5"/>
      <c r="L84" s="3">
        <v>33</v>
      </c>
      <c r="M84" s="3">
        <v>176</v>
      </c>
      <c r="N84" s="3">
        <v>34</v>
      </c>
      <c r="O84" s="3"/>
      <c r="P84" s="5"/>
      <c r="Q84" s="5"/>
      <c r="R84" s="5"/>
      <c r="S84" s="5"/>
      <c r="T84" s="5"/>
      <c r="U84" s="5"/>
      <c r="V84" s="5"/>
      <c r="W84" s="5"/>
    </row>
    <row r="85" spans="1:23" ht="15.75" x14ac:dyDescent="0.5">
      <c r="A85" s="4" t="s">
        <v>86</v>
      </c>
      <c r="B85" s="3">
        <f t="shared" si="1"/>
        <v>297.5</v>
      </c>
      <c r="C85" s="3">
        <v>0</v>
      </c>
      <c r="D85" s="3">
        <f>SUM(54)</f>
        <v>54</v>
      </c>
      <c r="E85" s="3">
        <f>SUM(31.6+34+45.9+51+81)</f>
        <v>243.5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x14ac:dyDescent="0.5">
      <c r="A86" s="9" t="s">
        <v>87</v>
      </c>
      <c r="B86" s="3">
        <f t="shared" si="1"/>
        <v>293.60000000000002</v>
      </c>
      <c r="C86" s="3">
        <v>0</v>
      </c>
      <c r="D86" s="3">
        <f>SUM(33.6+50+50+80+80)</f>
        <v>293.60000000000002</v>
      </c>
      <c r="V86" s="5"/>
      <c r="W86" s="5"/>
    </row>
    <row r="87" spans="1:23" ht="15.75" x14ac:dyDescent="0.5">
      <c r="A87" s="4" t="s">
        <v>88</v>
      </c>
      <c r="B87" s="3">
        <f t="shared" si="1"/>
        <v>289</v>
      </c>
      <c r="C87" s="3">
        <v>0</v>
      </c>
      <c r="D87" s="3">
        <v>0</v>
      </c>
      <c r="E87" s="5"/>
      <c r="F87" s="5"/>
      <c r="G87" s="5"/>
      <c r="H87" s="3">
        <v>89</v>
      </c>
      <c r="I87" s="5"/>
      <c r="J87" s="5"/>
      <c r="K87" s="3">
        <v>39</v>
      </c>
      <c r="L87" s="3">
        <v>131</v>
      </c>
      <c r="M87" s="3">
        <v>30</v>
      </c>
      <c r="N87" s="3"/>
      <c r="O87" s="3"/>
      <c r="P87" s="5"/>
      <c r="Q87" s="5"/>
      <c r="R87" s="5"/>
      <c r="S87" s="5"/>
      <c r="T87" s="5"/>
      <c r="U87" s="5"/>
      <c r="V87" s="5"/>
      <c r="W87" s="5"/>
    </row>
    <row r="88" spans="1:23" ht="15.75" x14ac:dyDescent="0.5">
      <c r="A88" s="4" t="s">
        <v>89</v>
      </c>
      <c r="B88" s="3">
        <f t="shared" si="1"/>
        <v>270</v>
      </c>
      <c r="C88" s="3">
        <v>0</v>
      </c>
      <c r="D88" s="3">
        <v>0</v>
      </c>
      <c r="E88" s="5"/>
      <c r="F88" s="5"/>
      <c r="G88" s="5"/>
      <c r="H88" s="5"/>
      <c r="I88" s="5"/>
      <c r="J88" s="5"/>
      <c r="K88" s="5"/>
      <c r="L88" s="5"/>
      <c r="M88" s="3">
        <v>270</v>
      </c>
      <c r="N88" s="3"/>
      <c r="O88" s="3"/>
      <c r="P88" s="5"/>
      <c r="Q88" s="5"/>
      <c r="R88" s="5"/>
      <c r="S88" s="5"/>
      <c r="T88" s="5"/>
      <c r="U88" s="5"/>
      <c r="V88" s="5"/>
      <c r="W88" s="5"/>
    </row>
    <row r="89" spans="1:23" ht="15.75" x14ac:dyDescent="0.5">
      <c r="A89" s="9" t="s">
        <v>90</v>
      </c>
      <c r="B89" s="3">
        <f t="shared" si="1"/>
        <v>266.39999999999998</v>
      </c>
      <c r="C89" s="3">
        <v>0</v>
      </c>
      <c r="D89" s="3">
        <f>SUM(33.6+42.4+32.8+42.4+32.8+82.4)</f>
        <v>266.39999999999998</v>
      </c>
      <c r="V89" s="5"/>
      <c r="W89" s="5"/>
    </row>
    <row r="90" spans="1:23" ht="15.75" x14ac:dyDescent="0.5">
      <c r="A90" s="4" t="s">
        <v>91</v>
      </c>
      <c r="B90" s="3">
        <f t="shared" si="1"/>
        <v>259</v>
      </c>
      <c r="C90" s="3">
        <v>0</v>
      </c>
      <c r="D90" s="3">
        <v>0</v>
      </c>
      <c r="E90" s="5"/>
      <c r="F90" s="5"/>
      <c r="G90" s="5"/>
      <c r="H90" s="5"/>
      <c r="I90" s="3">
        <v>259</v>
      </c>
      <c r="J90" s="5"/>
      <c r="K90" s="5"/>
      <c r="L90" s="5"/>
      <c r="M90" s="5"/>
      <c r="N90" s="3"/>
      <c r="O90" s="3"/>
      <c r="P90" s="5"/>
      <c r="Q90" s="5"/>
      <c r="R90" s="5"/>
      <c r="S90" s="5"/>
      <c r="T90" s="5"/>
      <c r="U90" s="5"/>
      <c r="V90" s="5"/>
      <c r="W90" s="5"/>
    </row>
    <row r="91" spans="1:23" ht="15.75" x14ac:dyDescent="0.5">
      <c r="A91" s="8" t="s">
        <v>92</v>
      </c>
      <c r="B91" s="3">
        <f t="shared" si="1"/>
        <v>563.29999999999995</v>
      </c>
      <c r="C91" s="3">
        <f>SUM(53.6+60+53.6+50+40+50)</f>
        <v>307.2</v>
      </c>
      <c r="D91" s="3">
        <f>SUM(30+33.6+52+40.5+44+56)</f>
        <v>256.10000000000002</v>
      </c>
      <c r="V91" s="5"/>
      <c r="W91" s="5"/>
    </row>
    <row r="92" spans="1:23" ht="15.75" x14ac:dyDescent="0.5">
      <c r="A92" s="4" t="s">
        <v>93</v>
      </c>
      <c r="B92" s="3">
        <f t="shared" si="1"/>
        <v>292.5</v>
      </c>
      <c r="C92" s="3">
        <f>SUM(40)</f>
        <v>40</v>
      </c>
      <c r="D92" s="3">
        <f>SUM(30+34+55.5)</f>
        <v>119.5</v>
      </c>
      <c r="E92" s="3">
        <f>SUM(30+52+51)</f>
        <v>133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ht="15.75" x14ac:dyDescent="0.5">
      <c r="A93" s="8" t="s">
        <v>94</v>
      </c>
      <c r="B93" s="3">
        <f t="shared" si="1"/>
        <v>249</v>
      </c>
      <c r="C93" s="3">
        <v>0</v>
      </c>
      <c r="D93" s="3">
        <f>SUM(53+50)</f>
        <v>103</v>
      </c>
      <c r="E93" s="3">
        <f>SUM(34+42+34+36)</f>
        <v>146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5.75" x14ac:dyDescent="0.5">
      <c r="A94" s="4" t="s">
        <v>95</v>
      </c>
      <c r="B94" s="3">
        <f t="shared" si="1"/>
        <v>303.60000000000002</v>
      </c>
      <c r="C94" s="3">
        <f>SUM(55)</f>
        <v>55</v>
      </c>
      <c r="D94" s="3">
        <f>SUM(53)</f>
        <v>53</v>
      </c>
      <c r="E94" s="3">
        <f>SUM(53.6+51+57)</f>
        <v>161.6</v>
      </c>
      <c r="F94" s="3">
        <f>SUM(34)</f>
        <v>34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ht="15.75" x14ac:dyDescent="0.5">
      <c r="A95" s="4" t="s">
        <v>96</v>
      </c>
      <c r="B95" s="3">
        <f t="shared" si="1"/>
        <v>444</v>
      </c>
      <c r="C95" s="3">
        <f>SUM(80+80+40)</f>
        <v>200</v>
      </c>
      <c r="D95" s="3">
        <f>SUM(85)</f>
        <v>85</v>
      </c>
      <c r="E95" s="3">
        <f>SUM(50)</f>
        <v>50</v>
      </c>
      <c r="F95" s="3">
        <f>SUM(30+45)</f>
        <v>75</v>
      </c>
      <c r="G95" s="5"/>
      <c r="H95" s="5"/>
      <c r="I95" s="5"/>
      <c r="J95" s="3">
        <v>34</v>
      </c>
      <c r="K95" s="5"/>
      <c r="L95" s="5"/>
      <c r="M95" s="3">
        <v>0</v>
      </c>
      <c r="N95" s="3"/>
      <c r="O95" s="3"/>
      <c r="P95" s="5"/>
      <c r="Q95" s="5"/>
      <c r="R95" s="5"/>
      <c r="S95" s="5"/>
      <c r="T95" s="5"/>
      <c r="U95" s="5"/>
      <c r="V95" s="5"/>
      <c r="W95" s="5"/>
    </row>
    <row r="96" spans="1:23" ht="15.75" x14ac:dyDescent="0.5">
      <c r="A96" s="4" t="s">
        <v>97</v>
      </c>
      <c r="B96" s="3">
        <f t="shared" si="1"/>
        <v>244</v>
      </c>
      <c r="C96" s="3">
        <v>0</v>
      </c>
      <c r="D96" s="3">
        <v>0</v>
      </c>
      <c r="E96" s="3"/>
      <c r="F96" s="3">
        <f>SUM(80)</f>
        <v>80</v>
      </c>
      <c r="G96" s="3">
        <v>68</v>
      </c>
      <c r="H96" s="3">
        <v>96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5"/>
      <c r="W96" s="5"/>
    </row>
    <row r="97" spans="1:23" ht="15.75" x14ac:dyDescent="0.5">
      <c r="A97" s="4" t="s">
        <v>98</v>
      </c>
      <c r="B97" s="3">
        <f t="shared" si="1"/>
        <v>239.6</v>
      </c>
      <c r="C97" s="3">
        <v>0</v>
      </c>
      <c r="D97" s="3">
        <f>SUM(53+32)</f>
        <v>85</v>
      </c>
      <c r="E97" s="3">
        <f>SUM(53.6+67)</f>
        <v>120.6</v>
      </c>
      <c r="F97" s="3">
        <f>SUM(34)</f>
        <v>34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x14ac:dyDescent="0.5">
      <c r="A98" s="4" t="s">
        <v>99</v>
      </c>
      <c r="B98" s="3">
        <f t="shared" si="1"/>
        <v>236.5</v>
      </c>
      <c r="C98" s="3">
        <v>0</v>
      </c>
      <c r="D98" s="3">
        <v>0</v>
      </c>
      <c r="E98" s="5"/>
      <c r="F98" s="5"/>
      <c r="G98" s="5"/>
      <c r="H98" s="3">
        <v>46.5</v>
      </c>
      <c r="I98" s="5"/>
      <c r="J98" s="5"/>
      <c r="K98" s="3">
        <v>190</v>
      </c>
      <c r="L98" s="5"/>
      <c r="M98" s="5"/>
      <c r="N98" s="3"/>
      <c r="O98" s="3"/>
      <c r="P98" s="5"/>
      <c r="Q98" s="5"/>
      <c r="R98" s="5"/>
      <c r="S98" s="5"/>
      <c r="T98" s="5"/>
      <c r="U98" s="5"/>
      <c r="V98" s="5"/>
      <c r="W98" s="5"/>
    </row>
    <row r="99" spans="1:23" ht="15.75" x14ac:dyDescent="0.5">
      <c r="A99" s="4" t="s">
        <v>100</v>
      </c>
      <c r="B99" s="3">
        <f t="shared" si="1"/>
        <v>234</v>
      </c>
      <c r="C99" s="3">
        <v>0</v>
      </c>
      <c r="D99" s="3">
        <f>SUM(54)</f>
        <v>54</v>
      </c>
      <c r="E99" s="5"/>
      <c r="F99" s="3">
        <f>SUM(52)</f>
        <v>52</v>
      </c>
      <c r="G99" s="3">
        <v>42</v>
      </c>
      <c r="H99" s="5"/>
      <c r="I99" s="5"/>
      <c r="J99" s="5"/>
      <c r="K99" s="5"/>
      <c r="L99" s="5"/>
      <c r="M99" s="5"/>
      <c r="N99" s="3">
        <v>51</v>
      </c>
      <c r="O99" s="3">
        <v>35</v>
      </c>
      <c r="P99" s="5"/>
      <c r="Q99" s="5"/>
      <c r="R99" s="5"/>
      <c r="S99" s="5"/>
      <c r="T99" s="5"/>
      <c r="U99" s="5"/>
      <c r="V99" s="5"/>
      <c r="W99" s="5"/>
    </row>
    <row r="100" spans="1:23" ht="15.75" x14ac:dyDescent="0.5">
      <c r="A100" s="4" t="s">
        <v>101</v>
      </c>
      <c r="B100" s="3">
        <f t="shared" si="1"/>
        <v>229</v>
      </c>
      <c r="C100" s="3">
        <v>0</v>
      </c>
      <c r="D100" s="3">
        <f>SUM(30)</f>
        <v>30</v>
      </c>
      <c r="E100" s="3">
        <f>SUM(30+50+51)</f>
        <v>131</v>
      </c>
      <c r="F100" s="3">
        <f>SUM(34+34)</f>
        <v>68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15.75" x14ac:dyDescent="0.5">
      <c r="A101" s="4" t="s">
        <v>102</v>
      </c>
      <c r="B101" s="3">
        <f t="shared" si="1"/>
        <v>227.5</v>
      </c>
      <c r="C101" s="3">
        <v>0</v>
      </c>
      <c r="D101" s="3">
        <v>0</v>
      </c>
      <c r="E101" s="5"/>
      <c r="F101" s="3">
        <f>SUM(53+80)</f>
        <v>133</v>
      </c>
      <c r="G101" s="3">
        <v>94.5</v>
      </c>
      <c r="H101" s="5"/>
      <c r="I101" s="5"/>
      <c r="J101" s="5"/>
      <c r="K101" s="5"/>
      <c r="L101" s="5"/>
      <c r="M101" s="5"/>
      <c r="N101" s="3"/>
      <c r="O101" s="3"/>
      <c r="P101" s="5"/>
      <c r="Q101" s="5"/>
      <c r="R101" s="5"/>
      <c r="S101" s="5"/>
      <c r="T101" s="5"/>
      <c r="U101" s="5"/>
      <c r="V101" s="5"/>
      <c r="W101" s="5"/>
    </row>
    <row r="102" spans="1:23" ht="15.75" x14ac:dyDescent="0.5">
      <c r="A102" s="4" t="s">
        <v>103</v>
      </c>
      <c r="B102" s="3">
        <f t="shared" si="1"/>
        <v>226</v>
      </c>
      <c r="C102" s="3">
        <v>0</v>
      </c>
      <c r="D102" s="3">
        <f>SUM(67)</f>
        <v>67</v>
      </c>
      <c r="E102" s="3">
        <f>SUM(42+50+67)</f>
        <v>159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15.75" x14ac:dyDescent="0.5">
      <c r="A103" s="4" t="s">
        <v>104</v>
      </c>
      <c r="B103" s="3">
        <f t="shared" si="1"/>
        <v>222.6</v>
      </c>
      <c r="C103" s="3">
        <v>0</v>
      </c>
      <c r="D103" s="3">
        <v>0</v>
      </c>
      <c r="E103" s="3">
        <f>SUM(30.6+48.4+49.6)</f>
        <v>128.6</v>
      </c>
      <c r="F103" s="5"/>
      <c r="G103" s="5"/>
      <c r="H103" s="5"/>
      <c r="I103" s="5"/>
      <c r="J103" s="5"/>
      <c r="K103" s="3">
        <v>94</v>
      </c>
      <c r="L103" s="5"/>
      <c r="M103" s="5"/>
      <c r="N103" s="3"/>
      <c r="O103" s="3"/>
      <c r="P103" s="5"/>
      <c r="Q103" s="5"/>
      <c r="R103" s="5"/>
      <c r="S103" s="5"/>
      <c r="T103" s="5"/>
      <c r="U103" s="5"/>
      <c r="V103" s="5"/>
      <c r="W103" s="5"/>
    </row>
    <row r="104" spans="1:23" ht="15.75" x14ac:dyDescent="0.5">
      <c r="A104" s="9" t="s">
        <v>105</v>
      </c>
      <c r="B104" s="3">
        <f t="shared" si="1"/>
        <v>580.1</v>
      </c>
      <c r="C104" s="3">
        <f>SUM(80+80+82.5+122)</f>
        <v>364.5</v>
      </c>
      <c r="D104" s="3">
        <f>SUM(33.6+52+50+80)</f>
        <v>215.6</v>
      </c>
      <c r="V104" s="5"/>
      <c r="W104" s="5"/>
    </row>
    <row r="105" spans="1:23" ht="15.75" x14ac:dyDescent="0.5">
      <c r="A105" s="4" t="s">
        <v>106</v>
      </c>
      <c r="B105" s="3">
        <f t="shared" si="1"/>
        <v>214</v>
      </c>
      <c r="C105" s="3">
        <v>0</v>
      </c>
      <c r="D105" s="3">
        <v>0</v>
      </c>
      <c r="E105" s="5"/>
      <c r="F105" s="5"/>
      <c r="G105" s="5"/>
      <c r="H105" s="5"/>
      <c r="I105" s="5"/>
      <c r="J105" s="3">
        <v>80</v>
      </c>
      <c r="K105" s="3">
        <v>134</v>
      </c>
      <c r="L105" s="5"/>
      <c r="M105" s="5"/>
      <c r="N105" s="3"/>
      <c r="O105" s="3"/>
      <c r="P105" s="5"/>
      <c r="Q105" s="5"/>
      <c r="R105" s="5"/>
      <c r="S105" s="5"/>
      <c r="T105" s="5"/>
      <c r="U105" s="5"/>
      <c r="V105" s="5"/>
      <c r="W105" s="5"/>
    </row>
    <row r="106" spans="1:23" ht="15.75" x14ac:dyDescent="0.5">
      <c r="A106" s="9" t="s">
        <v>107</v>
      </c>
      <c r="B106" s="3">
        <f t="shared" si="1"/>
        <v>296.10000000000002</v>
      </c>
      <c r="C106" s="3">
        <f>SUM(82.5)</f>
        <v>82.5</v>
      </c>
      <c r="D106" s="3">
        <f>SUM(33.6+50+50+80)</f>
        <v>213.6</v>
      </c>
      <c r="V106" s="5"/>
      <c r="W106" s="5"/>
    </row>
    <row r="107" spans="1:23" ht="15.75" x14ac:dyDescent="0.5">
      <c r="A107" s="4" t="s">
        <v>108</v>
      </c>
      <c r="B107" s="3">
        <f t="shared" si="1"/>
        <v>211.6</v>
      </c>
      <c r="C107" s="3">
        <v>0</v>
      </c>
      <c r="D107" s="3">
        <f>SUM(50+80)</f>
        <v>130</v>
      </c>
      <c r="E107" s="3">
        <f>SUM(31.6+50)</f>
        <v>81.599999999999994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x14ac:dyDescent="0.5">
      <c r="A108" s="4" t="s">
        <v>109</v>
      </c>
      <c r="B108" s="3">
        <f t="shared" si="1"/>
        <v>207.6</v>
      </c>
      <c r="C108" s="3">
        <v>0</v>
      </c>
      <c r="D108" s="3">
        <v>0</v>
      </c>
      <c r="E108" s="3">
        <f>SUM(31.6+52+67+57)</f>
        <v>207.6</v>
      </c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5"/>
      <c r="W108" s="5"/>
    </row>
    <row r="109" spans="1:23" ht="15.75" x14ac:dyDescent="0.5">
      <c r="A109" s="8" t="s">
        <v>110</v>
      </c>
      <c r="B109" s="3">
        <f t="shared" si="1"/>
        <v>202</v>
      </c>
      <c r="C109" s="3">
        <v>0</v>
      </c>
      <c r="D109" s="3">
        <f>SUM(54)</f>
        <v>54</v>
      </c>
      <c r="E109" s="3">
        <f>SUM(38+51+59)</f>
        <v>148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5.75" x14ac:dyDescent="0.5">
      <c r="A110" s="4" t="s">
        <v>111</v>
      </c>
      <c r="B110" s="3">
        <f t="shared" si="1"/>
        <v>200.5</v>
      </c>
      <c r="C110" s="3">
        <v>0</v>
      </c>
      <c r="D110" s="3">
        <v>0</v>
      </c>
      <c r="E110" s="5"/>
      <c r="F110" s="5"/>
      <c r="G110" s="5"/>
      <c r="H110" s="5"/>
      <c r="I110" s="3">
        <v>167.5</v>
      </c>
      <c r="J110" s="3">
        <v>33</v>
      </c>
      <c r="K110" s="5"/>
      <c r="L110" s="5"/>
      <c r="M110" s="5"/>
      <c r="N110" s="3"/>
      <c r="O110" s="3"/>
      <c r="P110" s="5"/>
      <c r="Q110" s="5"/>
      <c r="R110" s="5"/>
      <c r="S110" s="5"/>
      <c r="T110" s="5"/>
      <c r="U110" s="5"/>
      <c r="V110" s="5"/>
      <c r="W110" s="5"/>
    </row>
    <row r="111" spans="1:23" ht="15.75" x14ac:dyDescent="0.5">
      <c r="A111" s="4" t="s">
        <v>112</v>
      </c>
      <c r="B111" s="3">
        <f t="shared" si="1"/>
        <v>192.7</v>
      </c>
      <c r="C111" s="3">
        <v>0</v>
      </c>
      <c r="D111" s="3">
        <f>SUM(32.8+42.4)</f>
        <v>75.199999999999989</v>
      </c>
      <c r="E111" s="3">
        <f>SUM(48.4+30.6)</f>
        <v>79</v>
      </c>
      <c r="F111" s="3">
        <f>SUM(38.5)</f>
        <v>38.5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ht="15.75" x14ac:dyDescent="0.5">
      <c r="A112" s="4" t="s">
        <v>113</v>
      </c>
      <c r="B112" s="3">
        <f t="shared" si="1"/>
        <v>187</v>
      </c>
      <c r="C112" s="3">
        <v>0</v>
      </c>
      <c r="D112" s="3">
        <v>0</v>
      </c>
      <c r="E112" s="5"/>
      <c r="F112" s="5"/>
      <c r="G112" s="5"/>
      <c r="H112" s="5"/>
      <c r="I112" s="5"/>
      <c r="J112" s="3">
        <v>187</v>
      </c>
      <c r="K112" s="5"/>
      <c r="L112" s="5"/>
      <c r="M112" s="5"/>
      <c r="N112" s="3"/>
      <c r="O112" s="3"/>
      <c r="P112" s="5"/>
      <c r="Q112" s="5"/>
      <c r="R112" s="5"/>
      <c r="S112" s="5"/>
      <c r="T112" s="5"/>
      <c r="U112" s="5"/>
      <c r="V112" s="5"/>
      <c r="W112" s="5"/>
    </row>
    <row r="113" spans="1:23" ht="15.75" x14ac:dyDescent="0.5">
      <c r="A113" s="4" t="s">
        <v>114</v>
      </c>
      <c r="B113" s="3">
        <f t="shared" si="1"/>
        <v>186</v>
      </c>
      <c r="C113" s="3">
        <v>0</v>
      </c>
      <c r="D113" s="3">
        <v>0</v>
      </c>
      <c r="E113" s="5"/>
      <c r="F113" s="5"/>
      <c r="G113" s="5"/>
      <c r="H113" s="5"/>
      <c r="I113" s="5"/>
      <c r="J113" s="5"/>
      <c r="K113" s="5"/>
      <c r="L113" s="5"/>
      <c r="M113" s="3">
        <v>186</v>
      </c>
      <c r="N113" s="3"/>
      <c r="O113" s="3"/>
      <c r="P113" s="5"/>
      <c r="Q113" s="5"/>
      <c r="R113" s="5"/>
      <c r="S113" s="5"/>
      <c r="T113" s="5"/>
      <c r="U113" s="5"/>
      <c r="V113" s="5"/>
      <c r="W113" s="5"/>
    </row>
    <row r="114" spans="1:23" ht="15.75" x14ac:dyDescent="0.5">
      <c r="A114" s="4" t="s">
        <v>115</v>
      </c>
      <c r="B114" s="3">
        <f t="shared" si="1"/>
        <v>185</v>
      </c>
      <c r="C114" s="3">
        <v>0</v>
      </c>
      <c r="D114" s="3">
        <v>0</v>
      </c>
      <c r="E114" s="5"/>
      <c r="F114" s="5"/>
      <c r="G114" s="5"/>
      <c r="H114" s="5"/>
      <c r="I114" s="5"/>
      <c r="J114" s="5"/>
      <c r="K114" s="5"/>
      <c r="L114" s="3">
        <v>38</v>
      </c>
      <c r="M114" s="3">
        <v>74</v>
      </c>
      <c r="N114" s="3">
        <v>73</v>
      </c>
      <c r="O114" s="3"/>
      <c r="P114" s="5"/>
      <c r="Q114" s="5"/>
      <c r="R114" s="5"/>
      <c r="S114" s="5"/>
      <c r="T114" s="5"/>
      <c r="U114" s="5"/>
      <c r="V114" s="5"/>
      <c r="W114" s="5"/>
    </row>
    <row r="115" spans="1:23" ht="15.75" x14ac:dyDescent="0.5">
      <c r="A115" s="4" t="s">
        <v>116</v>
      </c>
      <c r="B115" s="3">
        <f t="shared" si="1"/>
        <v>182</v>
      </c>
      <c r="C115" s="3">
        <v>0</v>
      </c>
      <c r="D115" s="3">
        <v>0</v>
      </c>
      <c r="E115" s="5"/>
      <c r="F115" s="5"/>
      <c r="G115" s="5"/>
      <c r="H115" s="5"/>
      <c r="I115" s="5"/>
      <c r="J115" s="5"/>
      <c r="K115" s="5"/>
      <c r="L115" s="3">
        <v>143</v>
      </c>
      <c r="M115" s="3">
        <v>39</v>
      </c>
      <c r="N115" s="3"/>
      <c r="O115" s="3"/>
      <c r="P115" s="5"/>
      <c r="Q115" s="5"/>
      <c r="R115" s="5"/>
      <c r="S115" s="5"/>
      <c r="T115" s="5"/>
      <c r="U115" s="5"/>
      <c r="V115" s="5"/>
      <c r="W115" s="5"/>
    </row>
    <row r="116" spans="1:23" ht="15.75" x14ac:dyDescent="0.5">
      <c r="A116" s="4" t="s">
        <v>117</v>
      </c>
      <c r="B116" s="3">
        <f t="shared" si="1"/>
        <v>181.6</v>
      </c>
      <c r="C116" s="3">
        <v>0</v>
      </c>
      <c r="D116" s="3">
        <f>SUM(54+34)</f>
        <v>88</v>
      </c>
      <c r="E116" s="3">
        <f>SUM(30+31.6)</f>
        <v>61.6</v>
      </c>
      <c r="F116" s="3">
        <f>SUM(32)</f>
        <v>32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15.75" x14ac:dyDescent="0.5">
      <c r="A117" s="4" t="s">
        <v>118</v>
      </c>
      <c r="B117" s="3">
        <f t="shared" si="1"/>
        <v>180</v>
      </c>
      <c r="C117" s="3">
        <v>0</v>
      </c>
      <c r="D117" s="3">
        <v>0</v>
      </c>
      <c r="E117" s="5"/>
      <c r="F117" s="5"/>
      <c r="G117" s="5"/>
      <c r="H117" s="5"/>
      <c r="I117" s="5"/>
      <c r="J117" s="5"/>
      <c r="K117" s="3">
        <v>59</v>
      </c>
      <c r="L117" s="3">
        <v>91</v>
      </c>
      <c r="M117" s="3">
        <v>30</v>
      </c>
      <c r="N117" s="3"/>
      <c r="O117" s="3"/>
      <c r="P117" s="5"/>
      <c r="Q117" s="5"/>
      <c r="R117" s="5"/>
      <c r="S117" s="5"/>
      <c r="T117" s="5"/>
      <c r="U117" s="5"/>
      <c r="V117" s="5"/>
      <c r="W117" s="5"/>
    </row>
    <row r="118" spans="1:23" ht="15.75" x14ac:dyDescent="0.5">
      <c r="A118" s="4" t="s">
        <v>119</v>
      </c>
      <c r="B118" s="3">
        <f t="shared" si="1"/>
        <v>179.5</v>
      </c>
      <c r="C118" s="3">
        <v>0</v>
      </c>
      <c r="D118" s="3">
        <v>0</v>
      </c>
      <c r="E118" s="5"/>
      <c r="F118" s="3">
        <f>SUM(34+51+51)</f>
        <v>136</v>
      </c>
      <c r="G118" s="3">
        <v>43.5</v>
      </c>
      <c r="H118" s="5"/>
      <c r="I118" s="5"/>
      <c r="J118" s="5"/>
      <c r="K118" s="5"/>
      <c r="L118" s="5"/>
      <c r="M118" s="5"/>
      <c r="N118" s="3"/>
      <c r="O118" s="3"/>
      <c r="P118" s="5"/>
      <c r="Q118" s="5"/>
      <c r="R118" s="5"/>
      <c r="S118" s="5"/>
      <c r="T118" s="5"/>
      <c r="U118" s="5"/>
      <c r="V118" s="5"/>
      <c r="W118" s="5"/>
    </row>
    <row r="119" spans="1:23" ht="15.75" x14ac:dyDescent="0.5">
      <c r="A119" s="4" t="s">
        <v>120</v>
      </c>
      <c r="B119" s="3">
        <f t="shared" si="1"/>
        <v>176</v>
      </c>
      <c r="C119" s="3">
        <v>0</v>
      </c>
      <c r="D119" s="3">
        <v>0</v>
      </c>
      <c r="E119" s="5"/>
      <c r="F119" s="5"/>
      <c r="G119" s="5"/>
      <c r="H119" s="5"/>
      <c r="I119" s="5"/>
      <c r="J119" s="5"/>
      <c r="K119" s="5"/>
      <c r="L119" s="3">
        <v>34</v>
      </c>
      <c r="M119" s="3">
        <v>142</v>
      </c>
      <c r="N119" s="3"/>
      <c r="O119" s="3"/>
      <c r="P119" s="5"/>
      <c r="Q119" s="5"/>
      <c r="R119" s="5"/>
      <c r="S119" s="5"/>
      <c r="T119" s="5"/>
      <c r="U119" s="5"/>
      <c r="V119" s="5"/>
      <c r="W119" s="5"/>
    </row>
    <row r="120" spans="1:23" ht="15.75" x14ac:dyDescent="0.5">
      <c r="A120" s="8" t="s">
        <v>121</v>
      </c>
      <c r="B120" s="3">
        <f t="shared" si="1"/>
        <v>175</v>
      </c>
      <c r="C120" s="3">
        <v>0</v>
      </c>
      <c r="D120" s="3">
        <f>SUM(53+32+56)</f>
        <v>141</v>
      </c>
      <c r="E120" s="3">
        <f>SUM(34)</f>
        <v>34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15.75" x14ac:dyDescent="0.5">
      <c r="A121" s="4" t="s">
        <v>122</v>
      </c>
      <c r="B121" s="3">
        <f t="shared" si="1"/>
        <v>175</v>
      </c>
      <c r="C121" s="3">
        <v>0</v>
      </c>
      <c r="D121" s="3">
        <v>0</v>
      </c>
      <c r="E121" s="5"/>
      <c r="F121" s="3">
        <f>SUM(39)</f>
        <v>39</v>
      </c>
      <c r="G121" s="3">
        <v>136</v>
      </c>
      <c r="H121" s="5"/>
      <c r="I121" s="5"/>
      <c r="J121" s="5"/>
      <c r="K121" s="5"/>
      <c r="L121" s="5"/>
      <c r="M121" s="5"/>
      <c r="N121" s="3"/>
      <c r="O121" s="3"/>
      <c r="P121" s="5"/>
      <c r="Q121" s="5"/>
      <c r="R121" s="5"/>
      <c r="S121" s="5"/>
      <c r="T121" s="5"/>
      <c r="U121" s="5"/>
      <c r="V121" s="5"/>
      <c r="W121" s="5"/>
    </row>
    <row r="122" spans="1:23" ht="15.75" x14ac:dyDescent="0.5">
      <c r="A122" s="4" t="s">
        <v>123</v>
      </c>
      <c r="B122" s="3">
        <f t="shared" si="1"/>
        <v>174.5</v>
      </c>
      <c r="C122" s="3">
        <v>0</v>
      </c>
      <c r="D122" s="3">
        <v>0</v>
      </c>
      <c r="E122" s="3">
        <f>SUM(39+38+59)</f>
        <v>136</v>
      </c>
      <c r="F122" s="3">
        <f>SUM(38.5)</f>
        <v>38.5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ht="15.75" x14ac:dyDescent="0.5">
      <c r="A123" s="4" t="s">
        <v>124</v>
      </c>
      <c r="B123" s="3">
        <f t="shared" si="1"/>
        <v>174</v>
      </c>
      <c r="C123" s="3">
        <v>0</v>
      </c>
      <c r="D123" s="3">
        <v>0</v>
      </c>
      <c r="E123" s="5"/>
      <c r="F123" s="5"/>
      <c r="G123" s="5"/>
      <c r="H123" s="5"/>
      <c r="I123" s="5"/>
      <c r="J123" s="5"/>
      <c r="K123" s="5"/>
      <c r="L123" s="3">
        <v>174</v>
      </c>
      <c r="M123" s="5"/>
      <c r="N123" s="3"/>
      <c r="O123" s="3"/>
      <c r="P123" s="5"/>
      <c r="Q123" s="5"/>
      <c r="R123" s="5"/>
      <c r="S123" s="5"/>
      <c r="T123" s="5"/>
      <c r="U123" s="5"/>
      <c r="V123" s="5"/>
      <c r="W123" s="5"/>
    </row>
    <row r="124" spans="1:23" ht="15.75" x14ac:dyDescent="0.5">
      <c r="A124" s="4" t="s">
        <v>125</v>
      </c>
      <c r="B124" s="3">
        <f t="shared" si="1"/>
        <v>160.85</v>
      </c>
      <c r="C124" s="3">
        <v>0</v>
      </c>
      <c r="D124" s="3">
        <v>0</v>
      </c>
      <c r="E124" s="5"/>
      <c r="F124" s="5"/>
      <c r="G124" s="5"/>
      <c r="H124" s="3">
        <v>118.85</v>
      </c>
      <c r="I124" s="3">
        <v>42</v>
      </c>
      <c r="J124" s="5"/>
      <c r="K124" s="5"/>
      <c r="L124" s="5"/>
      <c r="M124" s="5"/>
      <c r="N124" s="3"/>
      <c r="O124" s="3"/>
      <c r="P124" s="5"/>
      <c r="Q124" s="5"/>
      <c r="R124" s="5"/>
      <c r="S124" s="5"/>
      <c r="T124" s="5"/>
      <c r="U124" s="5"/>
      <c r="V124" s="5"/>
      <c r="W124" s="5"/>
    </row>
    <row r="125" spans="1:23" ht="15.75" x14ac:dyDescent="0.5">
      <c r="A125" s="4" t="s">
        <v>126</v>
      </c>
      <c r="B125" s="3">
        <f t="shared" si="1"/>
        <v>159.4</v>
      </c>
      <c r="C125" s="3">
        <v>0</v>
      </c>
      <c r="D125" s="3">
        <v>0</v>
      </c>
      <c r="E125" s="5"/>
      <c r="F125" s="3">
        <f>SUM(34+34+45)</f>
        <v>113</v>
      </c>
      <c r="G125" s="5"/>
      <c r="H125" s="3">
        <v>46.4</v>
      </c>
      <c r="I125" s="5"/>
      <c r="J125" s="5"/>
      <c r="K125" s="5"/>
      <c r="L125" s="5"/>
      <c r="M125" s="5"/>
      <c r="N125" s="3"/>
      <c r="O125" s="3"/>
      <c r="P125" s="5"/>
      <c r="Q125" s="5"/>
      <c r="R125" s="5"/>
      <c r="S125" s="5"/>
      <c r="T125" s="5"/>
      <c r="U125" s="5"/>
      <c r="V125" s="5"/>
      <c r="W125" s="5"/>
    </row>
    <row r="126" spans="1:23" ht="15.75" x14ac:dyDescent="0.5">
      <c r="A126" s="9" t="s">
        <v>127</v>
      </c>
      <c r="B126" s="3">
        <f t="shared" si="1"/>
        <v>288.10000000000002</v>
      </c>
      <c r="C126" s="3">
        <f>SUM(53.6+80)</f>
        <v>133.6</v>
      </c>
      <c r="D126" s="3">
        <f>SUM(34+40.5+80)</f>
        <v>154.5</v>
      </c>
      <c r="V126" s="5"/>
      <c r="W126" s="5"/>
    </row>
    <row r="127" spans="1:23" ht="15.75" x14ac:dyDescent="0.5">
      <c r="A127" s="4" t="s">
        <v>128</v>
      </c>
      <c r="B127" s="3">
        <f t="shared" si="1"/>
        <v>188</v>
      </c>
      <c r="C127" s="3">
        <f>SUM(35)</f>
        <v>35</v>
      </c>
      <c r="D127" s="3">
        <v>0</v>
      </c>
      <c r="E127" s="5"/>
      <c r="F127" s="5"/>
      <c r="G127" s="3">
        <v>42</v>
      </c>
      <c r="H127" s="3">
        <v>56</v>
      </c>
      <c r="I127" s="5"/>
      <c r="J127" s="5"/>
      <c r="K127" s="5"/>
      <c r="L127" s="5"/>
      <c r="M127" s="3">
        <v>55</v>
      </c>
      <c r="N127" s="3"/>
      <c r="O127" s="3"/>
      <c r="P127" s="5"/>
      <c r="Q127" s="5"/>
      <c r="R127" s="5"/>
      <c r="S127" s="5"/>
      <c r="T127" s="5"/>
      <c r="U127" s="5"/>
      <c r="V127" s="5"/>
      <c r="W127" s="5"/>
    </row>
    <row r="128" spans="1:23" ht="15.75" x14ac:dyDescent="0.5">
      <c r="A128" s="4" t="s">
        <v>129</v>
      </c>
      <c r="B128" s="3">
        <f t="shared" si="1"/>
        <v>152</v>
      </c>
      <c r="C128" s="3">
        <v>0</v>
      </c>
      <c r="D128" s="3">
        <v>0</v>
      </c>
      <c r="E128" s="5"/>
      <c r="F128" s="3">
        <f>SUM(39+62+51)</f>
        <v>152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ht="15.75" x14ac:dyDescent="0.5">
      <c r="A129" s="4" t="s">
        <v>130</v>
      </c>
      <c r="B129" s="3">
        <f t="shared" si="1"/>
        <v>148</v>
      </c>
      <c r="C129" s="3">
        <v>0</v>
      </c>
      <c r="D129" s="3">
        <v>0</v>
      </c>
      <c r="E129" s="3">
        <f>SUM(36)</f>
        <v>36</v>
      </c>
      <c r="F129" s="5"/>
      <c r="G129" s="5"/>
      <c r="H129" s="5"/>
      <c r="I129" s="3">
        <v>112</v>
      </c>
      <c r="J129" s="5"/>
      <c r="K129" s="5"/>
      <c r="L129" s="5"/>
      <c r="M129" s="5"/>
      <c r="N129" s="3"/>
      <c r="O129" s="3"/>
      <c r="P129" s="5"/>
      <c r="Q129" s="5"/>
      <c r="R129" s="5"/>
      <c r="S129" s="5"/>
      <c r="T129" s="5"/>
      <c r="U129" s="5"/>
      <c r="V129" s="5"/>
      <c r="W129" s="5"/>
    </row>
    <row r="130" spans="1:23" ht="15.75" x14ac:dyDescent="0.5">
      <c r="A130" s="4" t="s">
        <v>131</v>
      </c>
      <c r="B130" s="3">
        <f t="shared" ref="B130:B193" si="2">SUM(C130:U130)</f>
        <v>147.6</v>
      </c>
      <c r="C130" s="3">
        <v>0</v>
      </c>
      <c r="D130" s="3">
        <f>SUM(54)</f>
        <v>54</v>
      </c>
      <c r="E130" s="3">
        <f>SUM(30+31.6)</f>
        <v>61.6</v>
      </c>
      <c r="F130" s="3">
        <f>SUM(32)</f>
        <v>32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ht="15.75" x14ac:dyDescent="0.5">
      <c r="A131" s="4" t="s">
        <v>132</v>
      </c>
      <c r="B131" s="3">
        <f t="shared" si="2"/>
        <v>146</v>
      </c>
      <c r="C131" s="3">
        <v>0</v>
      </c>
      <c r="D131" s="3">
        <v>0</v>
      </c>
      <c r="E131" s="5"/>
      <c r="F131" s="3">
        <f>SUM(39+45+62)</f>
        <v>146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5.75" x14ac:dyDescent="0.5">
      <c r="A132" s="4" t="s">
        <v>133</v>
      </c>
      <c r="B132" s="3">
        <f t="shared" si="2"/>
        <v>146</v>
      </c>
      <c r="C132" s="3">
        <v>0</v>
      </c>
      <c r="D132" s="3">
        <v>0</v>
      </c>
      <c r="E132" s="5"/>
      <c r="F132" s="5"/>
      <c r="G132" s="5"/>
      <c r="H132" s="5"/>
      <c r="I132" s="5"/>
      <c r="J132" s="5"/>
      <c r="K132" s="5"/>
      <c r="L132" s="3">
        <v>146</v>
      </c>
      <c r="M132" s="5"/>
      <c r="N132" s="3"/>
      <c r="O132" s="3"/>
      <c r="P132" s="5"/>
      <c r="Q132" s="5"/>
      <c r="R132" s="5"/>
      <c r="S132" s="5"/>
      <c r="T132" s="5"/>
      <c r="U132" s="5"/>
      <c r="V132" s="5"/>
      <c r="W132" s="5"/>
    </row>
    <row r="133" spans="1:23" ht="15.75" x14ac:dyDescent="0.5">
      <c r="A133" s="4" t="s">
        <v>134</v>
      </c>
      <c r="B133" s="3">
        <f t="shared" si="2"/>
        <v>145.4</v>
      </c>
      <c r="C133" s="3">
        <v>0</v>
      </c>
      <c r="D133" s="3">
        <v>0</v>
      </c>
      <c r="E133" s="3">
        <f>SUM(30.6+30.6+34.6+49.6)</f>
        <v>145.4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ht="15.75" x14ac:dyDescent="0.5">
      <c r="A134" s="4" t="s">
        <v>135</v>
      </c>
      <c r="B134" s="3">
        <f t="shared" si="2"/>
        <v>142.6</v>
      </c>
      <c r="C134" s="3">
        <v>0</v>
      </c>
      <c r="D134" s="3">
        <v>0</v>
      </c>
      <c r="E134" s="3">
        <f>SUM(34+49.6+59)</f>
        <v>142.6</v>
      </c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ht="15.75" x14ac:dyDescent="0.5">
      <c r="A135" s="7" t="s">
        <v>136</v>
      </c>
      <c r="B135" s="3">
        <f t="shared" si="2"/>
        <v>142</v>
      </c>
      <c r="C135" s="3">
        <v>0</v>
      </c>
      <c r="D135" s="3">
        <f>SUM(34+52+56)</f>
        <v>142</v>
      </c>
      <c r="V135" s="5"/>
      <c r="W135" s="5"/>
    </row>
    <row r="136" spans="1:23" ht="15.75" x14ac:dyDescent="0.5">
      <c r="A136" s="8" t="s">
        <v>137</v>
      </c>
      <c r="B136" s="3">
        <f t="shared" si="2"/>
        <v>275</v>
      </c>
      <c r="C136" s="3">
        <f>SUM(55+80)</f>
        <v>135</v>
      </c>
      <c r="D136" s="3">
        <f>SUM(53+56)</f>
        <v>109</v>
      </c>
      <c r="E136" s="3">
        <f>SUM(31)</f>
        <v>31</v>
      </c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ht="15.75" x14ac:dyDescent="0.5">
      <c r="A137" s="8" t="s">
        <v>138</v>
      </c>
      <c r="B137" s="3">
        <f t="shared" si="2"/>
        <v>233</v>
      </c>
      <c r="C137" s="3">
        <f>SUM(54+40)</f>
        <v>94</v>
      </c>
      <c r="D137" s="3">
        <f>SUM(35+54+50)</f>
        <v>139</v>
      </c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5.75" x14ac:dyDescent="0.5">
      <c r="A138" s="8" t="s">
        <v>139</v>
      </c>
      <c r="B138" s="3">
        <f t="shared" si="2"/>
        <v>136</v>
      </c>
      <c r="C138" s="3">
        <v>0</v>
      </c>
      <c r="D138" s="3">
        <v>0</v>
      </c>
      <c r="E138" s="3">
        <f>SUM(34+52+50)</f>
        <v>136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ht="15.75" x14ac:dyDescent="0.5">
      <c r="A139" s="8" t="s">
        <v>140</v>
      </c>
      <c r="B139" s="3">
        <f t="shared" si="2"/>
        <v>527.5</v>
      </c>
      <c r="C139" s="3">
        <f>SUM(55+35+60+82.5+80+80)</f>
        <v>392.5</v>
      </c>
      <c r="D139" s="3">
        <f>SUM(50+54)</f>
        <v>104</v>
      </c>
      <c r="E139" s="3">
        <f>SUM(31)</f>
        <v>31</v>
      </c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.75" x14ac:dyDescent="0.5">
      <c r="A140" s="4" t="s">
        <v>141</v>
      </c>
      <c r="B140" s="3">
        <f t="shared" si="2"/>
        <v>270.60000000000002</v>
      </c>
      <c r="C140" s="3">
        <f>SUM(35+53.6+50)</f>
        <v>138.6</v>
      </c>
      <c r="D140" s="3">
        <f>SUM(34+32+34+32)</f>
        <v>132</v>
      </c>
      <c r="V140" s="5"/>
      <c r="W140" s="5"/>
    </row>
    <row r="141" spans="1:23" ht="15.75" x14ac:dyDescent="0.5">
      <c r="A141" s="8" t="s">
        <v>142</v>
      </c>
      <c r="B141" s="3">
        <f t="shared" si="2"/>
        <v>131.6</v>
      </c>
      <c r="C141" s="3">
        <v>0</v>
      </c>
      <c r="D141" s="3">
        <v>0</v>
      </c>
      <c r="E141" s="3">
        <f>SUM(31+49.6+51)</f>
        <v>131.6</v>
      </c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x14ac:dyDescent="0.5">
      <c r="A142" s="8" t="s">
        <v>143</v>
      </c>
      <c r="B142" s="3">
        <f t="shared" si="2"/>
        <v>131.5</v>
      </c>
      <c r="C142" s="3">
        <v>0</v>
      </c>
      <c r="D142" s="3">
        <f>SUM(40.5)</f>
        <v>40.5</v>
      </c>
      <c r="E142" s="3">
        <f>SUM(34+57)</f>
        <v>91</v>
      </c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ht="15.75" x14ac:dyDescent="0.5">
      <c r="A143" s="9" t="s">
        <v>144</v>
      </c>
      <c r="B143" s="3">
        <f t="shared" si="2"/>
        <v>131</v>
      </c>
      <c r="C143" s="3">
        <v>0</v>
      </c>
      <c r="D143" s="3">
        <f>SUM(31+50+50)</f>
        <v>131</v>
      </c>
      <c r="V143" s="5"/>
      <c r="W143" s="5"/>
    </row>
    <row r="144" spans="1:23" ht="15.75" x14ac:dyDescent="0.5">
      <c r="A144" s="9" t="s">
        <v>145</v>
      </c>
      <c r="B144" s="3">
        <f t="shared" si="2"/>
        <v>130</v>
      </c>
      <c r="C144" s="3">
        <v>0</v>
      </c>
      <c r="D144" s="3">
        <f>SUM(30+50+50)</f>
        <v>130</v>
      </c>
      <c r="V144" s="5"/>
      <c r="W144" s="5"/>
    </row>
    <row r="145" spans="1:23" ht="15.75" x14ac:dyDescent="0.5">
      <c r="A145" s="9" t="s">
        <v>146</v>
      </c>
      <c r="B145" s="3">
        <f t="shared" si="2"/>
        <v>130</v>
      </c>
      <c r="C145" s="3">
        <v>0</v>
      </c>
      <c r="D145" s="3">
        <f>SUM(30+50+50)</f>
        <v>130</v>
      </c>
      <c r="V145" s="5"/>
      <c r="W145" s="5"/>
    </row>
    <row r="146" spans="1:23" ht="15.75" x14ac:dyDescent="0.5">
      <c r="A146" s="8" t="s">
        <v>147</v>
      </c>
      <c r="B146" s="3">
        <f t="shared" si="2"/>
        <v>128.6</v>
      </c>
      <c r="C146" s="3">
        <v>0</v>
      </c>
      <c r="D146" s="3">
        <v>0</v>
      </c>
      <c r="E146" s="3">
        <f>SUM(30.6+48.4+49.6)</f>
        <v>128.6</v>
      </c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ht="15.75" x14ac:dyDescent="0.5">
      <c r="A147" s="4" t="s">
        <v>148</v>
      </c>
      <c r="B147" s="3">
        <f t="shared" si="2"/>
        <v>256</v>
      </c>
      <c r="C147" s="3">
        <f>SUM(55+80)</f>
        <v>135</v>
      </c>
      <c r="D147" s="3">
        <f>SUM(56)</f>
        <v>56</v>
      </c>
      <c r="E147" s="3">
        <f>SUM(33)</f>
        <v>33</v>
      </c>
      <c r="F147" s="3">
        <v>32</v>
      </c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5.75" x14ac:dyDescent="0.5">
      <c r="A148" s="4" t="s">
        <v>149</v>
      </c>
      <c r="B148" s="3">
        <f t="shared" si="2"/>
        <v>121</v>
      </c>
      <c r="C148" s="3">
        <v>0</v>
      </c>
      <c r="D148" s="3">
        <v>0</v>
      </c>
      <c r="E148" s="5"/>
      <c r="F148" s="5"/>
      <c r="G148" s="5"/>
      <c r="H148" s="5"/>
      <c r="I148" s="5"/>
      <c r="J148" s="5"/>
      <c r="K148" s="3">
        <v>32</v>
      </c>
      <c r="L148" s="3">
        <v>89</v>
      </c>
      <c r="M148" s="5"/>
      <c r="N148" s="3"/>
      <c r="O148" s="3"/>
      <c r="P148" s="5"/>
      <c r="Q148" s="5"/>
      <c r="R148" s="5"/>
      <c r="S148" s="5"/>
      <c r="T148" s="5"/>
      <c r="U148" s="5"/>
      <c r="V148" s="5"/>
      <c r="W148" s="5"/>
    </row>
    <row r="149" spans="1:23" ht="15.75" x14ac:dyDescent="0.5">
      <c r="A149" s="4" t="s">
        <v>150</v>
      </c>
      <c r="B149" s="3">
        <f t="shared" si="2"/>
        <v>249.6</v>
      </c>
      <c r="C149" s="3">
        <f>SUM(31.6+49+50)</f>
        <v>130.6</v>
      </c>
      <c r="D149" s="3">
        <f>SUM(46)</f>
        <v>46</v>
      </c>
      <c r="E149" s="3">
        <f>SUM(39+34)</f>
        <v>73</v>
      </c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5.75" x14ac:dyDescent="0.5">
      <c r="A150" s="4" t="s">
        <v>151</v>
      </c>
      <c r="B150" s="3">
        <f t="shared" si="2"/>
        <v>112</v>
      </c>
      <c r="C150" s="3">
        <v>0</v>
      </c>
      <c r="D150" s="3">
        <v>0</v>
      </c>
      <c r="E150" s="5"/>
      <c r="F150" s="5"/>
      <c r="G150" s="3">
        <v>30</v>
      </c>
      <c r="H150" s="5"/>
      <c r="I150" s="3">
        <v>82</v>
      </c>
      <c r="J150" s="5"/>
      <c r="K150" s="5"/>
      <c r="L150" s="5"/>
      <c r="M150" s="5"/>
      <c r="N150" s="3"/>
      <c r="O150" s="3"/>
      <c r="P150" s="5"/>
      <c r="Q150" s="5"/>
      <c r="R150" s="5"/>
      <c r="S150" s="5"/>
      <c r="T150" s="5"/>
      <c r="U150" s="5"/>
      <c r="V150" s="5"/>
      <c r="W150" s="5"/>
    </row>
    <row r="151" spans="1:23" ht="15.75" x14ac:dyDescent="0.5">
      <c r="A151" s="4" t="s">
        <v>152</v>
      </c>
      <c r="B151" s="3">
        <f t="shared" si="2"/>
        <v>137</v>
      </c>
      <c r="C151" s="3">
        <f>SUM(30)</f>
        <v>30</v>
      </c>
      <c r="D151" s="3">
        <f>SUM(32)</f>
        <v>32</v>
      </c>
      <c r="E151" s="5"/>
      <c r="F151" s="3">
        <f>SUM(34)</f>
        <v>34</v>
      </c>
      <c r="G151" s="3">
        <v>41</v>
      </c>
      <c r="H151" s="5"/>
      <c r="I151" s="5"/>
      <c r="J151" s="5"/>
      <c r="K151" s="5"/>
      <c r="L151" s="5"/>
      <c r="M151" s="5"/>
      <c r="N151" s="3"/>
      <c r="O151" s="3"/>
      <c r="P151" s="5"/>
      <c r="Q151" s="5"/>
      <c r="R151" s="5"/>
      <c r="S151" s="5"/>
      <c r="T151" s="5"/>
      <c r="U151" s="5"/>
      <c r="V151" s="5"/>
      <c r="W151" s="5"/>
    </row>
    <row r="152" spans="1:23" ht="15.75" x14ac:dyDescent="0.5">
      <c r="A152" s="4" t="s">
        <v>153</v>
      </c>
      <c r="B152" s="3">
        <f t="shared" si="2"/>
        <v>103.6</v>
      </c>
      <c r="C152" s="3">
        <v>0</v>
      </c>
      <c r="D152" s="3">
        <v>0</v>
      </c>
      <c r="E152" s="3">
        <f>SUM(30+31.6+42)</f>
        <v>103.6</v>
      </c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ht="15.75" x14ac:dyDescent="0.5">
      <c r="A153" s="7" t="s">
        <v>154</v>
      </c>
      <c r="B153" s="3">
        <f t="shared" si="2"/>
        <v>135</v>
      </c>
      <c r="C153" s="3">
        <f>SUM(35)</f>
        <v>35</v>
      </c>
      <c r="D153" s="3">
        <f>SUM(34+32+34)</f>
        <v>100</v>
      </c>
      <c r="V153" s="5"/>
      <c r="W153" s="5"/>
    </row>
    <row r="154" spans="1:23" ht="15.75" x14ac:dyDescent="0.5">
      <c r="A154" s="4" t="s">
        <v>155</v>
      </c>
      <c r="B154" s="3">
        <f t="shared" si="2"/>
        <v>100</v>
      </c>
      <c r="C154" s="3">
        <v>0</v>
      </c>
      <c r="D154" s="3">
        <v>0</v>
      </c>
      <c r="E154" s="5"/>
      <c r="F154" s="5"/>
      <c r="G154" s="5"/>
      <c r="H154" s="3">
        <v>56</v>
      </c>
      <c r="I154" s="5"/>
      <c r="J154" s="3">
        <v>44</v>
      </c>
      <c r="K154" s="5"/>
      <c r="L154" s="5"/>
      <c r="M154" s="5"/>
      <c r="N154" s="3"/>
      <c r="O154" s="3"/>
      <c r="P154" s="5"/>
      <c r="Q154" s="5"/>
      <c r="R154" s="5"/>
      <c r="S154" s="5"/>
      <c r="T154" s="5"/>
      <c r="U154" s="5"/>
      <c r="V154" s="5"/>
      <c r="W154" s="5"/>
    </row>
    <row r="155" spans="1:23" ht="15.75" x14ac:dyDescent="0.5">
      <c r="A155" s="9" t="s">
        <v>156</v>
      </c>
      <c r="B155" s="3">
        <f t="shared" si="2"/>
        <v>99</v>
      </c>
      <c r="C155" s="3">
        <v>0</v>
      </c>
      <c r="D155" s="3">
        <f>SUM(32+67)</f>
        <v>99</v>
      </c>
      <c r="V155" s="5"/>
      <c r="W155" s="5"/>
    </row>
    <row r="156" spans="1:23" ht="15.75" x14ac:dyDescent="0.5">
      <c r="A156" s="4" t="s">
        <v>157</v>
      </c>
      <c r="B156" s="3">
        <f t="shared" si="2"/>
        <v>98.5</v>
      </c>
      <c r="C156" s="3">
        <v>0</v>
      </c>
      <c r="D156" s="3">
        <v>0</v>
      </c>
      <c r="E156" s="5"/>
      <c r="F156" s="5"/>
      <c r="G156" s="5"/>
      <c r="H156" s="5"/>
      <c r="I156" s="3">
        <v>98.5</v>
      </c>
      <c r="J156" s="5"/>
      <c r="K156" s="5"/>
      <c r="L156" s="5"/>
      <c r="M156" s="5"/>
      <c r="N156" s="3"/>
      <c r="O156" s="3"/>
      <c r="P156" s="5"/>
      <c r="Q156" s="5"/>
      <c r="R156" s="5"/>
      <c r="S156" s="5"/>
      <c r="T156" s="5"/>
      <c r="U156" s="5"/>
      <c r="V156" s="5"/>
      <c r="W156" s="5"/>
    </row>
    <row r="157" spans="1:23" ht="15.75" x14ac:dyDescent="0.5">
      <c r="A157" s="4" t="s">
        <v>158</v>
      </c>
      <c r="B157" s="3">
        <f t="shared" si="2"/>
        <v>98</v>
      </c>
      <c r="C157" s="3">
        <v>0</v>
      </c>
      <c r="D157" s="3">
        <v>0</v>
      </c>
      <c r="E157" s="5"/>
      <c r="F157" s="5"/>
      <c r="G157" s="5"/>
      <c r="H157" s="5"/>
      <c r="I157" s="5"/>
      <c r="J157" s="5"/>
      <c r="K157" s="3">
        <v>98</v>
      </c>
      <c r="L157" s="5"/>
      <c r="M157" s="5"/>
      <c r="N157" s="3"/>
      <c r="O157" s="3"/>
      <c r="P157" s="5"/>
      <c r="Q157" s="5"/>
      <c r="R157" s="5"/>
      <c r="S157" s="5"/>
      <c r="T157" s="5"/>
      <c r="U157" s="5"/>
      <c r="V157" s="5"/>
      <c r="W157" s="5"/>
    </row>
    <row r="158" spans="1:23" ht="15.75" x14ac:dyDescent="0.5">
      <c r="A158" s="8" t="s">
        <v>159</v>
      </c>
      <c r="B158" s="3">
        <f t="shared" si="2"/>
        <v>177</v>
      </c>
      <c r="C158" s="3">
        <f>SUM(30+50)</f>
        <v>80</v>
      </c>
      <c r="D158" s="3">
        <v>0</v>
      </c>
      <c r="E158" s="3">
        <f>SUM(38+59)</f>
        <v>97</v>
      </c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ht="15.75" x14ac:dyDescent="0.5">
      <c r="A159" s="4" t="s">
        <v>160</v>
      </c>
      <c r="B159" s="3">
        <f t="shared" si="2"/>
        <v>96</v>
      </c>
      <c r="C159" s="3">
        <v>0</v>
      </c>
      <c r="D159" s="3">
        <v>0</v>
      </c>
      <c r="E159" s="5"/>
      <c r="F159" s="3">
        <f>SUM(34+62)</f>
        <v>96</v>
      </c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5.75" x14ac:dyDescent="0.5">
      <c r="A160" s="4" t="s">
        <v>161</v>
      </c>
      <c r="B160" s="3">
        <f t="shared" si="2"/>
        <v>95.6</v>
      </c>
      <c r="C160" s="3">
        <v>0</v>
      </c>
      <c r="D160" s="3">
        <f>SUM(32)</f>
        <v>32</v>
      </c>
      <c r="E160" s="3">
        <f>SUM(31.6)</f>
        <v>31.6</v>
      </c>
      <c r="F160" s="3">
        <v>32</v>
      </c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ht="15.75" x14ac:dyDescent="0.5">
      <c r="A161" s="4" t="s">
        <v>162</v>
      </c>
      <c r="B161" s="3">
        <f t="shared" si="2"/>
        <v>94</v>
      </c>
      <c r="C161" s="3">
        <v>0</v>
      </c>
      <c r="D161" s="3">
        <v>0</v>
      </c>
      <c r="E161" s="5"/>
      <c r="F161" s="5"/>
      <c r="G161" s="5"/>
      <c r="H161" s="5"/>
      <c r="I161" s="5"/>
      <c r="J161" s="3">
        <v>94</v>
      </c>
      <c r="K161" s="5"/>
      <c r="L161" s="5"/>
      <c r="M161" s="5"/>
      <c r="N161" s="3"/>
      <c r="O161" s="3"/>
      <c r="P161" s="5"/>
      <c r="Q161" s="5"/>
      <c r="R161" s="5"/>
      <c r="S161" s="5"/>
      <c r="T161" s="5"/>
      <c r="U161" s="5"/>
      <c r="V161" s="5"/>
      <c r="W161" s="5"/>
    </row>
    <row r="162" spans="1:23" ht="15.75" x14ac:dyDescent="0.5">
      <c r="A162" s="4" t="s">
        <v>163</v>
      </c>
      <c r="B162" s="3">
        <f t="shared" si="2"/>
        <v>92.5</v>
      </c>
      <c r="C162" s="3">
        <v>0</v>
      </c>
      <c r="D162" s="3">
        <v>0</v>
      </c>
      <c r="E162" s="5"/>
      <c r="F162" s="5"/>
      <c r="G162" s="5"/>
      <c r="H162" s="5"/>
      <c r="I162" s="5"/>
      <c r="J162" s="3">
        <v>92.5</v>
      </c>
      <c r="K162" s="5"/>
      <c r="L162" s="5"/>
      <c r="M162" s="5"/>
      <c r="N162" s="3"/>
      <c r="O162" s="3"/>
      <c r="P162" s="5"/>
      <c r="Q162" s="5"/>
      <c r="R162" s="5"/>
      <c r="S162" s="5"/>
      <c r="T162" s="5"/>
      <c r="U162" s="5"/>
      <c r="V162" s="5"/>
      <c r="W162" s="5"/>
    </row>
    <row r="163" spans="1:23" ht="15.75" x14ac:dyDescent="0.5">
      <c r="A163" s="4" t="s">
        <v>164</v>
      </c>
      <c r="B163" s="3">
        <f t="shared" si="2"/>
        <v>139</v>
      </c>
      <c r="C163" s="3">
        <f>SUM(49)</f>
        <v>49</v>
      </c>
      <c r="D163" s="3">
        <f>SUM(56)</f>
        <v>56</v>
      </c>
      <c r="E163" s="3">
        <f>SUM(34)</f>
        <v>34</v>
      </c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x14ac:dyDescent="0.5">
      <c r="A164" s="8" t="s">
        <v>165</v>
      </c>
      <c r="B164" s="3">
        <f t="shared" si="2"/>
        <v>89.5</v>
      </c>
      <c r="C164" s="3">
        <v>0</v>
      </c>
      <c r="D164" s="3">
        <f>SUM(34+55.5)</f>
        <v>89.5</v>
      </c>
      <c r="V164" s="5"/>
      <c r="W164" s="5"/>
    </row>
    <row r="165" spans="1:23" ht="15.75" x14ac:dyDescent="0.5">
      <c r="A165" s="7" t="s">
        <v>166</v>
      </c>
      <c r="B165" s="3">
        <f t="shared" si="2"/>
        <v>89.1</v>
      </c>
      <c r="C165" s="3">
        <v>0</v>
      </c>
      <c r="D165" s="3">
        <f>SUM(33.6+55.5)</f>
        <v>89.1</v>
      </c>
      <c r="V165" s="5"/>
      <c r="W165" s="5"/>
    </row>
    <row r="166" spans="1:23" ht="15.75" x14ac:dyDescent="0.5">
      <c r="A166" s="4" t="s">
        <v>167</v>
      </c>
      <c r="B166" s="3">
        <f t="shared" si="2"/>
        <v>89</v>
      </c>
      <c r="C166" s="3">
        <v>0</v>
      </c>
      <c r="D166" s="3">
        <v>0</v>
      </c>
      <c r="E166" s="5"/>
      <c r="F166" s="5"/>
      <c r="G166" s="5"/>
      <c r="H166" s="5"/>
      <c r="I166" s="5"/>
      <c r="J166" s="5"/>
      <c r="K166" s="5"/>
      <c r="L166" s="3">
        <v>55</v>
      </c>
      <c r="M166" s="3">
        <v>34</v>
      </c>
      <c r="N166" s="3"/>
      <c r="O166" s="3"/>
      <c r="P166" s="5"/>
      <c r="Q166" s="5"/>
      <c r="R166" s="5"/>
      <c r="S166" s="5"/>
      <c r="T166" s="5"/>
      <c r="U166" s="5"/>
      <c r="V166" s="5"/>
      <c r="W166" s="5"/>
    </row>
    <row r="167" spans="1:23" ht="15.75" x14ac:dyDescent="0.5">
      <c r="A167" s="4" t="s">
        <v>168</v>
      </c>
      <c r="B167" s="3">
        <f t="shared" si="2"/>
        <v>89</v>
      </c>
      <c r="C167" s="3">
        <v>0</v>
      </c>
      <c r="D167" s="3">
        <v>0</v>
      </c>
      <c r="E167" s="5"/>
      <c r="F167" s="5"/>
      <c r="G167" s="5"/>
      <c r="H167" s="5"/>
      <c r="I167" s="5"/>
      <c r="J167" s="5"/>
      <c r="K167" s="5"/>
      <c r="L167" s="5"/>
      <c r="M167" s="3">
        <v>89</v>
      </c>
      <c r="N167" s="3"/>
      <c r="O167" s="3"/>
      <c r="P167" s="5"/>
      <c r="Q167" s="5"/>
      <c r="R167" s="5"/>
      <c r="S167" s="5"/>
      <c r="T167" s="5"/>
      <c r="U167" s="5"/>
      <c r="V167" s="5"/>
      <c r="W167" s="5"/>
    </row>
    <row r="168" spans="1:23" ht="15.75" x14ac:dyDescent="0.5">
      <c r="A168" s="4" t="s">
        <v>169</v>
      </c>
      <c r="B168" s="3">
        <f t="shared" si="2"/>
        <v>88.6</v>
      </c>
      <c r="C168" s="3">
        <v>0</v>
      </c>
      <c r="D168" s="3">
        <v>0</v>
      </c>
      <c r="E168" s="3">
        <f>SUM(31.6+57)</f>
        <v>88.6</v>
      </c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ht="15.75" x14ac:dyDescent="0.5">
      <c r="A169" s="4" t="s">
        <v>170</v>
      </c>
      <c r="B169" s="3">
        <f t="shared" si="2"/>
        <v>85</v>
      </c>
      <c r="C169" s="3">
        <v>0</v>
      </c>
      <c r="D169" s="3">
        <v>0</v>
      </c>
      <c r="E169" s="3">
        <f>SUM(53)</f>
        <v>53</v>
      </c>
      <c r="F169" s="3">
        <f>SUM(32)</f>
        <v>32</v>
      </c>
      <c r="G169" s="5"/>
      <c r="H169" s="5"/>
      <c r="I169" s="5"/>
      <c r="J169" s="5"/>
      <c r="K169" s="5"/>
      <c r="L169" s="5"/>
      <c r="M169" s="5"/>
      <c r="N169" s="3"/>
      <c r="O169" s="3"/>
      <c r="P169" s="5"/>
      <c r="Q169" s="5"/>
      <c r="R169" s="5"/>
      <c r="S169" s="5"/>
      <c r="T169" s="5"/>
      <c r="U169" s="5"/>
      <c r="V169" s="5"/>
      <c r="W169" s="5"/>
    </row>
    <row r="170" spans="1:23" ht="15.75" x14ac:dyDescent="0.5">
      <c r="A170" s="4" t="s">
        <v>171</v>
      </c>
      <c r="B170" s="3">
        <f t="shared" si="2"/>
        <v>85</v>
      </c>
      <c r="C170" s="3">
        <v>0</v>
      </c>
      <c r="D170" s="3">
        <v>0</v>
      </c>
      <c r="E170" s="5"/>
      <c r="F170" s="5"/>
      <c r="G170" s="5"/>
      <c r="H170" s="5"/>
      <c r="I170" s="5"/>
      <c r="J170" s="5"/>
      <c r="K170" s="5"/>
      <c r="L170" s="5"/>
      <c r="M170" s="3">
        <v>85</v>
      </c>
      <c r="N170" s="3"/>
      <c r="O170" s="3"/>
      <c r="P170" s="5"/>
      <c r="Q170" s="5"/>
      <c r="R170" s="5"/>
      <c r="S170" s="5"/>
      <c r="T170" s="5"/>
      <c r="U170" s="5"/>
      <c r="V170" s="5"/>
      <c r="W170" s="5"/>
    </row>
    <row r="171" spans="1:23" ht="15.75" x14ac:dyDescent="0.5">
      <c r="A171" s="9" t="s">
        <v>172</v>
      </c>
      <c r="B171" s="3">
        <f t="shared" si="2"/>
        <v>272.60000000000002</v>
      </c>
      <c r="C171" s="3">
        <f>SUM(55+53.6+80)</f>
        <v>188.6</v>
      </c>
      <c r="D171" s="3">
        <f>SUM(32+52)</f>
        <v>84</v>
      </c>
      <c r="V171" s="5"/>
      <c r="W171" s="5"/>
    </row>
    <row r="172" spans="1:23" ht="15.75" x14ac:dyDescent="0.5">
      <c r="A172" s="4" t="s">
        <v>173</v>
      </c>
      <c r="B172" s="3">
        <f t="shared" si="2"/>
        <v>83</v>
      </c>
      <c r="C172" s="3">
        <v>0</v>
      </c>
      <c r="D172" s="3">
        <v>0</v>
      </c>
      <c r="E172" s="5"/>
      <c r="F172" s="3">
        <f>SUM(30+53)</f>
        <v>83</v>
      </c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3" ht="15.75" x14ac:dyDescent="0.5">
      <c r="A173" s="4" t="s">
        <v>174</v>
      </c>
      <c r="B173" s="3">
        <f t="shared" si="2"/>
        <v>83</v>
      </c>
      <c r="C173" s="3">
        <v>0</v>
      </c>
      <c r="D173" s="3">
        <v>0</v>
      </c>
      <c r="E173" s="5"/>
      <c r="F173" s="5"/>
      <c r="G173" s="5"/>
      <c r="H173" s="5"/>
      <c r="I173" s="5"/>
      <c r="J173" s="3">
        <v>44</v>
      </c>
      <c r="K173" s="3">
        <v>39</v>
      </c>
      <c r="L173" s="5"/>
      <c r="M173" s="5"/>
      <c r="N173" s="3"/>
      <c r="O173" s="3"/>
      <c r="P173" s="5"/>
      <c r="Q173" s="5"/>
      <c r="R173" s="5"/>
      <c r="S173" s="5"/>
      <c r="T173" s="5"/>
      <c r="U173" s="5"/>
      <c r="V173" s="5"/>
      <c r="W173" s="5"/>
    </row>
    <row r="174" spans="1:23" ht="15.75" x14ac:dyDescent="0.5">
      <c r="A174" s="4" t="s">
        <v>175</v>
      </c>
      <c r="B174" s="3">
        <f t="shared" si="2"/>
        <v>82</v>
      </c>
      <c r="C174" s="3">
        <v>0</v>
      </c>
      <c r="D174" s="3">
        <v>0</v>
      </c>
      <c r="E174" s="3">
        <f>SUM(31+51)</f>
        <v>82</v>
      </c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5"/>
      <c r="W174" s="5"/>
    </row>
    <row r="175" spans="1:23" ht="15.75" x14ac:dyDescent="0.5">
      <c r="A175" s="4" t="s">
        <v>176</v>
      </c>
      <c r="B175" s="3">
        <f t="shared" si="2"/>
        <v>81</v>
      </c>
      <c r="C175" s="3">
        <v>0</v>
      </c>
      <c r="D175" s="3">
        <v>0</v>
      </c>
      <c r="E175" s="5"/>
      <c r="F175" s="3">
        <f>SUM(39)</f>
        <v>39</v>
      </c>
      <c r="G175" s="3">
        <v>42</v>
      </c>
      <c r="H175" s="5"/>
      <c r="I175" s="5"/>
      <c r="J175" s="5"/>
      <c r="K175" s="5"/>
      <c r="L175" s="5"/>
      <c r="M175" s="5"/>
      <c r="N175" s="3"/>
      <c r="O175" s="3"/>
      <c r="P175" s="5"/>
      <c r="Q175" s="5"/>
      <c r="R175" s="5"/>
      <c r="S175" s="5"/>
      <c r="T175" s="5"/>
      <c r="U175" s="5"/>
      <c r="V175" s="5"/>
      <c r="W175" s="5"/>
    </row>
    <row r="176" spans="1:23" ht="15.75" x14ac:dyDescent="0.5">
      <c r="A176" s="8" t="s">
        <v>177</v>
      </c>
      <c r="B176" s="3">
        <f t="shared" si="2"/>
        <v>80.599999999999994</v>
      </c>
      <c r="C176" s="3">
        <v>0</v>
      </c>
      <c r="D176" s="3">
        <v>0</v>
      </c>
      <c r="E176" s="3">
        <f>SUM(31+49.6)</f>
        <v>80.599999999999994</v>
      </c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ht="15.75" x14ac:dyDescent="0.5">
      <c r="A177" s="4" t="s">
        <v>178</v>
      </c>
      <c r="B177" s="3">
        <f t="shared" si="2"/>
        <v>80</v>
      </c>
      <c r="C177" s="3">
        <v>0</v>
      </c>
      <c r="D177" s="3">
        <f>SUM(46)</f>
        <v>46</v>
      </c>
      <c r="E177" s="5"/>
      <c r="F177" s="3">
        <f>SUM(34)</f>
        <v>34</v>
      </c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ht="15.75" x14ac:dyDescent="0.5">
      <c r="A178" s="11" t="s">
        <v>179</v>
      </c>
      <c r="B178" s="3">
        <f t="shared" si="2"/>
        <v>77.599999999999994</v>
      </c>
      <c r="C178" s="3">
        <v>0</v>
      </c>
      <c r="D178" s="3">
        <f>SUM(33.6+44)</f>
        <v>77.599999999999994</v>
      </c>
      <c r="V178" s="5"/>
      <c r="W178" s="5"/>
    </row>
    <row r="179" spans="1:23" ht="15.75" x14ac:dyDescent="0.5">
      <c r="A179" s="7" t="s">
        <v>180</v>
      </c>
      <c r="B179" s="3">
        <f t="shared" si="2"/>
        <v>77.5</v>
      </c>
      <c r="C179" s="3">
        <v>0</v>
      </c>
      <c r="D179" s="3">
        <v>0</v>
      </c>
      <c r="E179" s="5"/>
      <c r="F179" s="3">
        <f>SUM(39+38.5)</f>
        <v>77.5</v>
      </c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5.75" x14ac:dyDescent="0.5">
      <c r="A180" s="4" t="s">
        <v>181</v>
      </c>
      <c r="B180" s="3">
        <f t="shared" si="2"/>
        <v>77</v>
      </c>
      <c r="C180" s="3">
        <v>0</v>
      </c>
      <c r="D180" s="3">
        <v>0</v>
      </c>
      <c r="E180" s="5"/>
      <c r="F180" s="5"/>
      <c r="G180" s="5"/>
      <c r="H180" s="5"/>
      <c r="I180" s="5"/>
      <c r="J180" s="5"/>
      <c r="K180" s="5"/>
      <c r="L180" s="3">
        <v>77</v>
      </c>
      <c r="M180" s="5"/>
      <c r="N180" s="3"/>
      <c r="O180" s="3"/>
      <c r="P180" s="5"/>
      <c r="Q180" s="5"/>
      <c r="R180" s="5"/>
      <c r="S180" s="5"/>
      <c r="T180" s="5"/>
      <c r="U180" s="5"/>
      <c r="V180" s="5"/>
      <c r="W180" s="5"/>
    </row>
    <row r="181" spans="1:23" ht="15.75" x14ac:dyDescent="0.5">
      <c r="A181" s="4" t="s">
        <v>182</v>
      </c>
      <c r="B181" s="3">
        <f t="shared" si="2"/>
        <v>76</v>
      </c>
      <c r="C181" s="3">
        <v>0</v>
      </c>
      <c r="D181" s="3">
        <f>SUM(34)</f>
        <v>34</v>
      </c>
      <c r="E181" s="5"/>
      <c r="F181" s="5"/>
      <c r="G181" s="3">
        <v>42</v>
      </c>
      <c r="H181" s="5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5"/>
      <c r="W181" s="5"/>
    </row>
    <row r="182" spans="1:23" ht="15.75" x14ac:dyDescent="0.5">
      <c r="A182" s="4" t="s">
        <v>183</v>
      </c>
      <c r="B182" s="3">
        <f t="shared" si="2"/>
        <v>76</v>
      </c>
      <c r="C182" s="3">
        <v>0</v>
      </c>
      <c r="D182" s="3">
        <v>0</v>
      </c>
      <c r="E182" s="5"/>
      <c r="F182" s="5"/>
      <c r="G182" s="5"/>
      <c r="H182" s="5"/>
      <c r="I182" s="5"/>
      <c r="J182" s="5"/>
      <c r="K182" s="5"/>
      <c r="L182" s="3">
        <v>38</v>
      </c>
      <c r="M182" s="3">
        <v>38</v>
      </c>
      <c r="N182" s="3"/>
      <c r="O182" s="3"/>
      <c r="P182" s="5"/>
      <c r="Q182" s="5"/>
      <c r="R182" s="5"/>
      <c r="S182" s="5"/>
      <c r="T182" s="5"/>
      <c r="U182" s="5"/>
      <c r="V182" s="5"/>
      <c r="W182" s="5"/>
    </row>
    <row r="183" spans="1:23" ht="15.75" x14ac:dyDescent="0.5">
      <c r="A183" s="9" t="s">
        <v>184</v>
      </c>
      <c r="B183" s="3">
        <f t="shared" si="2"/>
        <v>73</v>
      </c>
      <c r="C183" s="3">
        <v>0</v>
      </c>
      <c r="D183" s="3">
        <f>SUM(32+41)</f>
        <v>73</v>
      </c>
      <c r="V183" s="5"/>
      <c r="W183" s="5"/>
    </row>
    <row r="184" spans="1:23" ht="15.75" x14ac:dyDescent="0.5">
      <c r="A184" s="4" t="s">
        <v>185</v>
      </c>
      <c r="B184" s="3">
        <f t="shared" si="2"/>
        <v>73</v>
      </c>
      <c r="C184" s="3">
        <v>0</v>
      </c>
      <c r="D184" s="3">
        <v>0</v>
      </c>
      <c r="E184" s="5"/>
      <c r="F184" s="5"/>
      <c r="G184" s="5"/>
      <c r="H184" s="5"/>
      <c r="I184" s="5"/>
      <c r="J184" s="5"/>
      <c r="K184" s="5"/>
      <c r="L184" s="3">
        <v>73</v>
      </c>
      <c r="M184" s="5"/>
      <c r="N184" s="3"/>
      <c r="O184" s="3"/>
      <c r="P184" s="5"/>
      <c r="Q184" s="5"/>
      <c r="R184" s="5"/>
      <c r="S184" s="5"/>
      <c r="T184" s="5"/>
      <c r="U184" s="5"/>
      <c r="V184" s="5"/>
      <c r="W184" s="5"/>
    </row>
    <row r="185" spans="1:23" ht="15.75" x14ac:dyDescent="0.5">
      <c r="A185" s="9" t="s">
        <v>186</v>
      </c>
      <c r="B185" s="3">
        <f t="shared" si="2"/>
        <v>617.5</v>
      </c>
      <c r="C185" s="3">
        <f>SUM(55+49+80+80+120+80+82)</f>
        <v>546</v>
      </c>
      <c r="D185" s="3">
        <f>SUM(31+40.5)</f>
        <v>71.5</v>
      </c>
      <c r="V185" s="5"/>
      <c r="W185" s="5"/>
    </row>
    <row r="186" spans="1:23" ht="15.75" x14ac:dyDescent="0.5">
      <c r="A186" s="9" t="s">
        <v>187</v>
      </c>
      <c r="B186" s="3">
        <f t="shared" si="2"/>
        <v>205.1</v>
      </c>
      <c r="C186" s="3">
        <f>SUM(80+53.6)</f>
        <v>133.6</v>
      </c>
      <c r="D186" s="3">
        <f>SUM(31+40.5)</f>
        <v>71.5</v>
      </c>
      <c r="V186" s="5"/>
      <c r="W186" s="5"/>
    </row>
    <row r="187" spans="1:23" ht="15.75" x14ac:dyDescent="0.5">
      <c r="A187" s="4" t="s">
        <v>188</v>
      </c>
      <c r="B187" s="3">
        <f t="shared" si="2"/>
        <v>69</v>
      </c>
      <c r="C187" s="3">
        <v>0</v>
      </c>
      <c r="D187" s="3">
        <v>0</v>
      </c>
      <c r="E187" s="5"/>
      <c r="F187" s="5"/>
      <c r="G187" s="5"/>
      <c r="H187" s="5"/>
      <c r="I187" s="5"/>
      <c r="J187" s="5"/>
      <c r="K187" s="5"/>
      <c r="L187" s="5"/>
      <c r="M187" s="3">
        <v>69</v>
      </c>
      <c r="N187" s="3"/>
      <c r="O187" s="3"/>
      <c r="P187" s="5"/>
      <c r="Q187" s="5"/>
      <c r="R187" s="5"/>
      <c r="S187" s="5"/>
      <c r="T187" s="5"/>
      <c r="U187" s="5"/>
      <c r="V187" s="5"/>
      <c r="W187" s="5"/>
    </row>
    <row r="188" spans="1:23" ht="15.75" x14ac:dyDescent="0.5">
      <c r="A188" s="8" t="s">
        <v>189</v>
      </c>
      <c r="B188" s="3">
        <f t="shared" si="2"/>
        <v>68</v>
      </c>
      <c r="C188" s="3">
        <v>0</v>
      </c>
      <c r="D188" s="3">
        <v>0</v>
      </c>
      <c r="E188" s="3">
        <f>SUM(34+34)</f>
        <v>68</v>
      </c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ht="15.75" x14ac:dyDescent="0.5">
      <c r="A189" s="8" t="s">
        <v>190</v>
      </c>
      <c r="B189" s="3">
        <f t="shared" si="2"/>
        <v>68</v>
      </c>
      <c r="C189" s="3">
        <v>0</v>
      </c>
      <c r="D189" s="3">
        <v>0</v>
      </c>
      <c r="E189" s="3">
        <f>SUM(34+34)</f>
        <v>68</v>
      </c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5.75" x14ac:dyDescent="0.5">
      <c r="A190" s="4" t="s">
        <v>191</v>
      </c>
      <c r="B190" s="3">
        <f t="shared" si="2"/>
        <v>68</v>
      </c>
      <c r="C190" s="3">
        <v>0</v>
      </c>
      <c r="D190" s="3">
        <v>0</v>
      </c>
      <c r="E190" s="5"/>
      <c r="F190" s="5"/>
      <c r="G190" s="5"/>
      <c r="H190" s="5"/>
      <c r="I190" s="5"/>
      <c r="J190" s="5"/>
      <c r="K190" s="5"/>
      <c r="L190" s="5"/>
      <c r="M190" s="3">
        <v>68</v>
      </c>
      <c r="N190" s="3"/>
      <c r="O190" s="3"/>
      <c r="P190" s="5"/>
      <c r="Q190" s="5"/>
      <c r="R190" s="5"/>
      <c r="S190" s="5"/>
      <c r="T190" s="5"/>
      <c r="U190" s="5"/>
      <c r="V190" s="5"/>
      <c r="W190" s="5"/>
    </row>
    <row r="191" spans="1:23" ht="15.75" x14ac:dyDescent="0.5">
      <c r="A191" s="7" t="s">
        <v>192</v>
      </c>
      <c r="B191" s="3">
        <f t="shared" si="2"/>
        <v>66</v>
      </c>
      <c r="C191" s="3">
        <v>0</v>
      </c>
      <c r="D191" s="3">
        <f>SUM(34+32)</f>
        <v>66</v>
      </c>
      <c r="V191" s="5"/>
      <c r="W191" s="5"/>
    </row>
    <row r="192" spans="1:23" ht="15.75" x14ac:dyDescent="0.5">
      <c r="A192" s="8" t="s">
        <v>193</v>
      </c>
      <c r="B192" s="3">
        <f t="shared" si="2"/>
        <v>66</v>
      </c>
      <c r="C192" s="3">
        <v>0</v>
      </c>
      <c r="D192" s="3">
        <f>SUM(34+32)</f>
        <v>66</v>
      </c>
      <c r="V192" s="5"/>
      <c r="W192" s="5"/>
    </row>
    <row r="193" spans="1:23" ht="15.75" x14ac:dyDescent="0.5">
      <c r="A193" s="7" t="s">
        <v>194</v>
      </c>
      <c r="B193" s="3">
        <f t="shared" si="2"/>
        <v>66</v>
      </c>
      <c r="C193" s="3">
        <v>0</v>
      </c>
      <c r="D193" s="3">
        <f>SUM(34+32)</f>
        <v>66</v>
      </c>
      <c r="V193" s="5"/>
      <c r="W193" s="5"/>
    </row>
    <row r="194" spans="1:23" ht="15.75" x14ac:dyDescent="0.5">
      <c r="A194" s="4" t="s">
        <v>195</v>
      </c>
      <c r="B194" s="3">
        <f t="shared" ref="B194:B257" si="3">SUM(C194:U194)</f>
        <v>66</v>
      </c>
      <c r="C194" s="3">
        <v>0</v>
      </c>
      <c r="D194" s="3">
        <f>SUM(32)</f>
        <v>32</v>
      </c>
      <c r="E194" s="5"/>
      <c r="F194" s="3">
        <f>SUM(34)</f>
        <v>34</v>
      </c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ht="15.75" x14ac:dyDescent="0.5">
      <c r="A195" s="4" t="s">
        <v>196</v>
      </c>
      <c r="B195" s="3">
        <f t="shared" si="3"/>
        <v>66</v>
      </c>
      <c r="C195" s="3">
        <v>0</v>
      </c>
      <c r="D195" s="3">
        <f>SUM(32)</f>
        <v>32</v>
      </c>
      <c r="E195" s="5"/>
      <c r="F195" s="3">
        <f>SUM(34)</f>
        <v>34</v>
      </c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x14ac:dyDescent="0.5">
      <c r="A196" s="4" t="s">
        <v>197</v>
      </c>
      <c r="B196" s="3">
        <f t="shared" si="3"/>
        <v>66</v>
      </c>
      <c r="C196" s="3">
        <v>0</v>
      </c>
      <c r="D196" s="3">
        <v>0</v>
      </c>
      <c r="E196" s="5"/>
      <c r="F196" s="5"/>
      <c r="G196" s="5"/>
      <c r="H196" s="5"/>
      <c r="I196" s="5"/>
      <c r="J196" s="5"/>
      <c r="K196" s="5"/>
      <c r="L196" s="3">
        <v>66</v>
      </c>
      <c r="M196" s="5"/>
      <c r="N196" s="3"/>
      <c r="O196" s="3"/>
      <c r="P196" s="5"/>
      <c r="Q196" s="5"/>
      <c r="R196" s="5"/>
      <c r="S196" s="5"/>
      <c r="T196" s="5"/>
      <c r="U196" s="5"/>
      <c r="V196" s="5"/>
      <c r="W196" s="5"/>
    </row>
    <row r="197" spans="1:23" ht="15.75" x14ac:dyDescent="0.5">
      <c r="A197" s="4" t="s">
        <v>198</v>
      </c>
      <c r="B197" s="3">
        <f t="shared" si="3"/>
        <v>65.599999999999994</v>
      </c>
      <c r="C197" s="3">
        <v>0</v>
      </c>
      <c r="D197" s="3">
        <v>0</v>
      </c>
      <c r="E197" s="3">
        <f>SUM(31.6)</f>
        <v>31.6</v>
      </c>
      <c r="F197" s="3">
        <f>SUM(34)</f>
        <v>34</v>
      </c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5.75" x14ac:dyDescent="0.5">
      <c r="A198" s="8" t="s">
        <v>199</v>
      </c>
      <c r="B198" s="3">
        <f t="shared" si="3"/>
        <v>64</v>
      </c>
      <c r="C198" s="3">
        <v>0</v>
      </c>
      <c r="D198" s="3">
        <v>0</v>
      </c>
      <c r="E198" s="3">
        <f>SUM(34+30)</f>
        <v>64</v>
      </c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3" ht="15.75" x14ac:dyDescent="0.5">
      <c r="A199" s="4" t="s">
        <v>200</v>
      </c>
      <c r="B199" s="3">
        <f t="shared" si="3"/>
        <v>143</v>
      </c>
      <c r="C199" s="3">
        <f>SUM(30+50)</f>
        <v>80</v>
      </c>
      <c r="D199" s="3">
        <v>0</v>
      </c>
      <c r="E199" s="5"/>
      <c r="F199" s="3">
        <f>SUM(30)</f>
        <v>30</v>
      </c>
      <c r="G199" s="5"/>
      <c r="H199" s="5"/>
      <c r="I199" s="5"/>
      <c r="J199" s="3">
        <v>33</v>
      </c>
      <c r="K199" s="5"/>
      <c r="L199" s="5"/>
      <c r="M199" s="5"/>
      <c r="N199" s="3"/>
      <c r="O199" s="3"/>
      <c r="P199" s="5"/>
      <c r="Q199" s="5"/>
      <c r="R199" s="5"/>
      <c r="S199" s="5"/>
      <c r="T199" s="5"/>
      <c r="U199" s="5"/>
      <c r="V199" s="5"/>
      <c r="W199" s="5"/>
    </row>
    <row r="200" spans="1:23" ht="15.75" x14ac:dyDescent="0.5">
      <c r="A200" s="4" t="s">
        <v>201</v>
      </c>
      <c r="B200" s="3">
        <f t="shared" si="3"/>
        <v>62</v>
      </c>
      <c r="C200" s="3">
        <v>0</v>
      </c>
      <c r="D200" s="3">
        <v>0</v>
      </c>
      <c r="E200" s="5"/>
      <c r="F200" s="3">
        <f>SUM(32+30)</f>
        <v>62</v>
      </c>
      <c r="G200" s="5"/>
      <c r="H200" s="5"/>
      <c r="I200" s="5"/>
      <c r="J200" s="5"/>
      <c r="K200" s="5"/>
      <c r="L200" s="5"/>
      <c r="M200" s="5"/>
      <c r="N200" s="3"/>
      <c r="O200" s="3"/>
      <c r="P200" s="5"/>
      <c r="Q200" s="5"/>
      <c r="R200" s="5"/>
      <c r="S200" s="5"/>
      <c r="T200" s="5"/>
      <c r="U200" s="5"/>
      <c r="V200" s="5"/>
      <c r="W200" s="5"/>
    </row>
    <row r="201" spans="1:23" ht="15.75" x14ac:dyDescent="0.5">
      <c r="A201" s="4" t="s">
        <v>202</v>
      </c>
      <c r="B201" s="3">
        <f t="shared" si="3"/>
        <v>51</v>
      </c>
      <c r="C201" s="3">
        <v>0</v>
      </c>
      <c r="D201" s="3">
        <v>0</v>
      </c>
      <c r="E201" s="5"/>
      <c r="F201" s="5"/>
      <c r="G201" s="5"/>
      <c r="H201" s="5"/>
      <c r="I201" s="5"/>
      <c r="J201" s="5"/>
      <c r="K201" s="5"/>
      <c r="L201" s="5"/>
      <c r="M201" s="3">
        <v>51</v>
      </c>
      <c r="N201" s="3"/>
      <c r="O201" s="3"/>
      <c r="P201" s="5"/>
      <c r="Q201" s="5"/>
      <c r="R201" s="5"/>
      <c r="S201" s="5"/>
      <c r="T201" s="5"/>
      <c r="U201" s="5"/>
      <c r="V201" s="5"/>
      <c r="W201" s="5"/>
    </row>
    <row r="202" spans="1:23" ht="15.75" x14ac:dyDescent="0.5">
      <c r="A202" s="4" t="s">
        <v>203</v>
      </c>
      <c r="B202" s="3">
        <f t="shared" si="3"/>
        <v>47</v>
      </c>
      <c r="C202" s="3">
        <v>0</v>
      </c>
      <c r="D202" s="3">
        <v>0</v>
      </c>
      <c r="E202" s="5"/>
      <c r="F202" s="5"/>
      <c r="G202" s="5"/>
      <c r="H202" s="5"/>
      <c r="I202" s="3">
        <v>47</v>
      </c>
      <c r="J202" s="5"/>
      <c r="K202" s="5"/>
      <c r="L202" s="5"/>
      <c r="M202" s="5"/>
      <c r="N202" s="3"/>
      <c r="O202" s="3"/>
      <c r="P202" s="5"/>
      <c r="Q202" s="5"/>
      <c r="R202" s="5"/>
      <c r="S202" s="5"/>
      <c r="T202" s="5"/>
      <c r="U202" s="5"/>
      <c r="V202" s="5"/>
      <c r="W202" s="5"/>
    </row>
    <row r="203" spans="1:23" ht="15.75" x14ac:dyDescent="0.5">
      <c r="A203" s="4" t="s">
        <v>204</v>
      </c>
      <c r="B203" s="3">
        <f t="shared" si="3"/>
        <v>46.5</v>
      </c>
      <c r="C203" s="3">
        <v>0</v>
      </c>
      <c r="D203" s="3">
        <v>0</v>
      </c>
      <c r="E203" s="5"/>
      <c r="F203" s="5"/>
      <c r="G203" s="5"/>
      <c r="H203" s="3">
        <v>46.5</v>
      </c>
      <c r="I203" s="5"/>
      <c r="J203" s="5"/>
      <c r="K203" s="5"/>
      <c r="L203" s="5"/>
      <c r="M203" s="5"/>
      <c r="N203" s="3"/>
      <c r="O203" s="3"/>
      <c r="P203" s="5"/>
      <c r="Q203" s="5"/>
      <c r="R203" s="5"/>
      <c r="S203" s="5"/>
      <c r="T203" s="5"/>
      <c r="U203" s="5"/>
      <c r="V203" s="5"/>
      <c r="W203" s="5"/>
    </row>
    <row r="204" spans="1:23" ht="15.75" x14ac:dyDescent="0.5">
      <c r="A204" s="4" t="s">
        <v>205</v>
      </c>
      <c r="B204" s="3">
        <f t="shared" si="3"/>
        <v>46.5</v>
      </c>
      <c r="C204" s="3">
        <v>0</v>
      </c>
      <c r="D204" s="3">
        <v>0</v>
      </c>
      <c r="E204" s="5"/>
      <c r="F204" s="5"/>
      <c r="G204" s="5"/>
      <c r="H204" s="3">
        <v>46.5</v>
      </c>
      <c r="I204" s="5"/>
      <c r="J204" s="5"/>
      <c r="K204" s="5"/>
      <c r="L204" s="5"/>
      <c r="M204" s="5"/>
      <c r="N204" s="3"/>
      <c r="O204" s="3"/>
      <c r="P204" s="5"/>
      <c r="Q204" s="5"/>
      <c r="R204" s="5"/>
      <c r="S204" s="5"/>
      <c r="T204" s="5"/>
      <c r="U204" s="5"/>
      <c r="V204" s="2"/>
      <c r="W204" s="2"/>
    </row>
    <row r="205" spans="1:23" ht="15.75" x14ac:dyDescent="0.5">
      <c r="A205" s="4" t="s">
        <v>206</v>
      </c>
      <c r="B205" s="3">
        <f t="shared" si="3"/>
        <v>46.5</v>
      </c>
      <c r="C205" s="3">
        <v>0</v>
      </c>
      <c r="D205" s="3">
        <v>0</v>
      </c>
      <c r="E205" s="5"/>
      <c r="F205" s="5"/>
      <c r="G205" s="5"/>
      <c r="H205" s="3">
        <v>46.5</v>
      </c>
      <c r="I205" s="5"/>
      <c r="J205" s="5"/>
      <c r="K205" s="5"/>
      <c r="L205" s="5"/>
      <c r="M205" s="5"/>
      <c r="N205" s="3"/>
      <c r="O205" s="3"/>
      <c r="P205" s="5"/>
      <c r="Q205" s="5"/>
      <c r="R205" s="5"/>
      <c r="S205" s="5"/>
      <c r="T205" s="5"/>
      <c r="U205" s="5"/>
    </row>
    <row r="206" spans="1:23" ht="15.75" x14ac:dyDescent="0.5">
      <c r="A206" s="4" t="s">
        <v>207</v>
      </c>
      <c r="B206" s="3">
        <f t="shared" si="3"/>
        <v>46.5</v>
      </c>
      <c r="C206" s="3">
        <v>0</v>
      </c>
      <c r="D206" s="3">
        <v>0</v>
      </c>
      <c r="E206" s="5"/>
      <c r="F206" s="5"/>
      <c r="G206" s="5"/>
      <c r="H206" s="3">
        <v>46.5</v>
      </c>
      <c r="I206" s="5"/>
      <c r="J206" s="5"/>
      <c r="K206" s="5"/>
      <c r="L206" s="5"/>
      <c r="M206" s="5"/>
      <c r="N206" s="3"/>
      <c r="O206" s="3"/>
      <c r="P206" s="5"/>
      <c r="Q206" s="5"/>
      <c r="R206" s="5"/>
      <c r="S206" s="5"/>
      <c r="T206" s="5"/>
      <c r="U206" s="5"/>
    </row>
    <row r="207" spans="1:23" ht="15.75" x14ac:dyDescent="0.5">
      <c r="A207" s="8" t="s">
        <v>208</v>
      </c>
      <c r="B207" s="3">
        <f t="shared" si="3"/>
        <v>42</v>
      </c>
      <c r="C207" s="3">
        <v>0</v>
      </c>
      <c r="D207" s="3">
        <v>0</v>
      </c>
      <c r="E207" s="3">
        <f>SUM(42)</f>
        <v>42</v>
      </c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3" ht="15.75" x14ac:dyDescent="0.5">
      <c r="A208" s="8" t="s">
        <v>209</v>
      </c>
      <c r="B208" s="3">
        <f t="shared" si="3"/>
        <v>42</v>
      </c>
      <c r="C208" s="3">
        <v>0</v>
      </c>
      <c r="D208" s="3">
        <v>0</v>
      </c>
      <c r="E208" s="3">
        <f>SUM(42)</f>
        <v>42</v>
      </c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5.75" x14ac:dyDescent="0.5">
      <c r="A209" s="4" t="s">
        <v>210</v>
      </c>
      <c r="B209" s="3">
        <f t="shared" si="3"/>
        <v>42</v>
      </c>
      <c r="C209" s="3">
        <v>0</v>
      </c>
      <c r="D209" s="3">
        <v>0</v>
      </c>
      <c r="E209" s="5"/>
      <c r="F209" s="5"/>
      <c r="G209" s="5"/>
      <c r="H209" s="3">
        <v>42</v>
      </c>
      <c r="I209" s="5"/>
      <c r="J209" s="5"/>
      <c r="K209" s="5"/>
      <c r="L209" s="5"/>
      <c r="M209" s="5"/>
      <c r="N209" s="3"/>
      <c r="O209" s="3"/>
      <c r="P209" s="5"/>
      <c r="Q209" s="5"/>
      <c r="R209" s="5"/>
      <c r="S209" s="5"/>
      <c r="T209" s="5"/>
      <c r="U209" s="5"/>
    </row>
    <row r="210" spans="1:21" ht="15.75" x14ac:dyDescent="0.5">
      <c r="A210" s="4" t="s">
        <v>211</v>
      </c>
      <c r="B210" s="3">
        <f t="shared" si="3"/>
        <v>42</v>
      </c>
      <c r="C210" s="3">
        <v>0</v>
      </c>
      <c r="D210" s="3">
        <v>0</v>
      </c>
      <c r="E210" s="5"/>
      <c r="F210" s="5"/>
      <c r="G210" s="5"/>
      <c r="H210" s="5"/>
      <c r="I210" s="3">
        <v>42</v>
      </c>
      <c r="J210" s="5"/>
      <c r="K210" s="5"/>
      <c r="L210" s="5"/>
      <c r="M210" s="5"/>
      <c r="N210" s="3"/>
      <c r="O210" s="3"/>
      <c r="P210" s="5"/>
      <c r="Q210" s="5"/>
      <c r="R210" s="5"/>
      <c r="S210" s="5"/>
      <c r="T210" s="5"/>
      <c r="U210" s="5"/>
    </row>
    <row r="211" spans="1:21" ht="15.75" x14ac:dyDescent="0.5">
      <c r="A211" s="4" t="s">
        <v>212</v>
      </c>
      <c r="B211" s="3">
        <f t="shared" si="3"/>
        <v>42</v>
      </c>
      <c r="C211" s="3">
        <v>0</v>
      </c>
      <c r="D211" s="3">
        <v>0</v>
      </c>
      <c r="E211" s="5"/>
      <c r="F211" s="5"/>
      <c r="G211" s="5"/>
      <c r="H211" s="5"/>
      <c r="I211" s="3">
        <v>42</v>
      </c>
      <c r="J211" s="5"/>
      <c r="K211" s="5"/>
      <c r="L211" s="5"/>
      <c r="M211" s="5"/>
      <c r="N211" s="3"/>
      <c r="O211" s="3"/>
      <c r="P211" s="5"/>
      <c r="Q211" s="5"/>
      <c r="R211" s="5"/>
      <c r="S211" s="5"/>
      <c r="T211" s="5"/>
      <c r="U211" s="5"/>
    </row>
    <row r="212" spans="1:21" ht="15.75" x14ac:dyDescent="0.5">
      <c r="A212" s="4" t="s">
        <v>213</v>
      </c>
      <c r="B212" s="3">
        <f t="shared" si="3"/>
        <v>42</v>
      </c>
      <c r="C212" s="3">
        <v>0</v>
      </c>
      <c r="D212" s="3">
        <v>0</v>
      </c>
      <c r="E212" s="5"/>
      <c r="F212" s="5"/>
      <c r="G212" s="5"/>
      <c r="H212" s="5"/>
      <c r="I212" s="3">
        <v>42</v>
      </c>
      <c r="J212" s="5"/>
      <c r="K212" s="5"/>
      <c r="L212" s="5"/>
      <c r="M212" s="5"/>
      <c r="N212" s="3"/>
      <c r="O212" s="3"/>
      <c r="P212" s="5"/>
      <c r="Q212" s="5"/>
      <c r="R212" s="5"/>
      <c r="S212" s="5"/>
      <c r="T212" s="5"/>
      <c r="U212" s="5"/>
    </row>
    <row r="213" spans="1:21" ht="15.75" x14ac:dyDescent="0.5">
      <c r="A213" s="4" t="s">
        <v>214</v>
      </c>
      <c r="B213" s="3">
        <f t="shared" si="3"/>
        <v>42</v>
      </c>
      <c r="C213" s="3">
        <v>0</v>
      </c>
      <c r="D213" s="3">
        <v>0</v>
      </c>
      <c r="E213" s="5"/>
      <c r="F213" s="5"/>
      <c r="G213" s="3">
        <v>42</v>
      </c>
      <c r="H213" s="5"/>
      <c r="I213" s="5"/>
      <c r="J213" s="5"/>
      <c r="K213" s="5"/>
      <c r="L213" s="5"/>
      <c r="M213" s="5"/>
      <c r="N213" s="3"/>
      <c r="O213" s="3"/>
      <c r="P213" s="5"/>
      <c r="Q213" s="5"/>
      <c r="R213" s="5"/>
      <c r="S213" s="5"/>
      <c r="T213" s="5"/>
      <c r="U213" s="5"/>
    </row>
    <row r="214" spans="1:21" ht="15.75" x14ac:dyDescent="0.5">
      <c r="A214" s="9" t="s">
        <v>215</v>
      </c>
      <c r="B214" s="3">
        <f t="shared" si="3"/>
        <v>40.5</v>
      </c>
      <c r="C214" s="3">
        <v>0</v>
      </c>
      <c r="D214" s="3">
        <f>SUM(40.5)</f>
        <v>40.5</v>
      </c>
    </row>
    <row r="215" spans="1:21" ht="15.75" x14ac:dyDescent="0.5">
      <c r="A215" s="4" t="s">
        <v>216</v>
      </c>
      <c r="B215" s="3">
        <f t="shared" si="3"/>
        <v>40</v>
      </c>
      <c r="C215" s="3">
        <v>0</v>
      </c>
      <c r="D215" s="3">
        <v>0</v>
      </c>
      <c r="E215" s="5"/>
      <c r="F215" s="5"/>
      <c r="G215" s="5"/>
      <c r="H215" s="5"/>
      <c r="I215" s="5"/>
      <c r="J215" s="3">
        <v>40</v>
      </c>
      <c r="K215" s="5"/>
      <c r="L215" s="5"/>
      <c r="M215" s="5"/>
      <c r="N215" s="3"/>
      <c r="O215" s="3"/>
      <c r="P215" s="5"/>
      <c r="Q215" s="5"/>
      <c r="R215" s="5"/>
      <c r="S215" s="5"/>
      <c r="T215" s="5"/>
      <c r="U215" s="5"/>
    </row>
    <row r="216" spans="1:21" ht="15.75" x14ac:dyDescent="0.5">
      <c r="A216" s="4" t="s">
        <v>217</v>
      </c>
      <c r="B216" s="3">
        <f t="shared" si="3"/>
        <v>40</v>
      </c>
      <c r="C216" s="3">
        <v>0</v>
      </c>
      <c r="D216" s="3">
        <v>0</v>
      </c>
      <c r="E216" s="5"/>
      <c r="F216" s="5"/>
      <c r="G216" s="5"/>
      <c r="H216" s="5"/>
      <c r="I216" s="5"/>
      <c r="J216" s="5"/>
      <c r="K216" s="5"/>
      <c r="L216" s="5"/>
      <c r="M216" s="3">
        <v>40</v>
      </c>
      <c r="N216" s="3"/>
      <c r="O216" s="3"/>
      <c r="P216" s="5"/>
      <c r="Q216" s="5"/>
      <c r="R216" s="5"/>
      <c r="S216" s="5"/>
      <c r="T216" s="5"/>
      <c r="U216" s="5"/>
    </row>
    <row r="217" spans="1:21" ht="15.75" x14ac:dyDescent="0.5">
      <c r="A217" s="8" t="s">
        <v>218</v>
      </c>
      <c r="B217" s="3">
        <f t="shared" si="3"/>
        <v>39</v>
      </c>
      <c r="C217" s="3">
        <v>0</v>
      </c>
      <c r="D217" s="3">
        <v>0</v>
      </c>
      <c r="E217" s="3">
        <f>SUM(39)</f>
        <v>39</v>
      </c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5.75" x14ac:dyDescent="0.5">
      <c r="A218" s="4" t="s">
        <v>219</v>
      </c>
      <c r="B218" s="3">
        <f t="shared" si="3"/>
        <v>39</v>
      </c>
      <c r="C218" s="3">
        <v>0</v>
      </c>
      <c r="D218" s="3">
        <v>0</v>
      </c>
      <c r="E218" s="5"/>
      <c r="F218" s="3">
        <f>SUM(39)</f>
        <v>39</v>
      </c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5.75" x14ac:dyDescent="0.5">
      <c r="A219" s="4" t="s">
        <v>220</v>
      </c>
      <c r="B219" s="3">
        <f t="shared" si="3"/>
        <v>39</v>
      </c>
      <c r="C219" s="3">
        <v>0</v>
      </c>
      <c r="D219" s="3">
        <v>0</v>
      </c>
      <c r="E219" s="5"/>
      <c r="F219" s="3">
        <f>SUM(39)</f>
        <v>39</v>
      </c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5.75" x14ac:dyDescent="0.5">
      <c r="A220" s="4" t="s">
        <v>221</v>
      </c>
      <c r="B220" s="3">
        <f t="shared" si="3"/>
        <v>39</v>
      </c>
      <c r="C220" s="3">
        <v>0</v>
      </c>
      <c r="D220" s="3">
        <v>0</v>
      </c>
      <c r="E220" s="5"/>
      <c r="F220" s="5"/>
      <c r="G220" s="5"/>
      <c r="H220" s="5"/>
      <c r="I220" s="5"/>
      <c r="J220" s="5"/>
      <c r="K220" s="3">
        <v>39</v>
      </c>
      <c r="L220" s="5"/>
      <c r="M220" s="5"/>
      <c r="N220" s="3"/>
      <c r="O220" s="3"/>
      <c r="P220" s="5"/>
      <c r="Q220" s="5"/>
      <c r="R220" s="5"/>
      <c r="S220" s="5"/>
      <c r="T220" s="5"/>
      <c r="U220" s="5"/>
    </row>
    <row r="221" spans="1:21" ht="15.75" x14ac:dyDescent="0.5">
      <c r="A221" s="4" t="s">
        <v>222</v>
      </c>
      <c r="B221" s="3">
        <f t="shared" si="3"/>
        <v>39</v>
      </c>
      <c r="C221" s="3">
        <v>0</v>
      </c>
      <c r="D221" s="3">
        <v>0</v>
      </c>
      <c r="E221" s="5"/>
      <c r="F221" s="5"/>
      <c r="G221" s="5"/>
      <c r="H221" s="5"/>
      <c r="I221" s="5"/>
      <c r="J221" s="5"/>
      <c r="K221" s="3">
        <v>39</v>
      </c>
      <c r="L221" s="5"/>
      <c r="M221" s="5"/>
      <c r="N221" s="3"/>
      <c r="O221" s="3"/>
      <c r="P221" s="5"/>
      <c r="Q221" s="5"/>
      <c r="R221" s="5"/>
      <c r="S221" s="5"/>
      <c r="T221" s="5"/>
      <c r="U221" s="5"/>
    </row>
    <row r="222" spans="1:21" ht="15.75" x14ac:dyDescent="0.5">
      <c r="A222" s="4" t="s">
        <v>223</v>
      </c>
      <c r="B222" s="3">
        <f t="shared" si="3"/>
        <v>39</v>
      </c>
      <c r="C222" s="3">
        <v>0</v>
      </c>
      <c r="D222" s="3">
        <v>0</v>
      </c>
      <c r="E222" s="5"/>
      <c r="F222" s="5"/>
      <c r="G222" s="5"/>
      <c r="H222" s="5"/>
      <c r="I222" s="5"/>
      <c r="J222" s="5"/>
      <c r="K222" s="5"/>
      <c r="L222" s="3">
        <v>39</v>
      </c>
      <c r="M222" s="5"/>
      <c r="N222" s="3"/>
      <c r="O222" s="3"/>
      <c r="P222" s="5"/>
      <c r="Q222" s="5"/>
      <c r="R222" s="5"/>
      <c r="S222" s="5"/>
      <c r="T222" s="5"/>
      <c r="U222" s="5"/>
    </row>
    <row r="223" spans="1:21" ht="15.75" x14ac:dyDescent="0.5">
      <c r="A223" s="4" t="s">
        <v>224</v>
      </c>
      <c r="B223" s="3">
        <f t="shared" si="3"/>
        <v>38.5</v>
      </c>
      <c r="C223" s="3">
        <v>0</v>
      </c>
      <c r="D223" s="3">
        <v>0</v>
      </c>
      <c r="E223" s="5"/>
      <c r="F223" s="3">
        <f>SUM(38.5)</f>
        <v>38.5</v>
      </c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5.75" x14ac:dyDescent="0.5">
      <c r="A224" s="8" t="s">
        <v>225</v>
      </c>
      <c r="B224" s="3">
        <f t="shared" si="3"/>
        <v>38</v>
      </c>
      <c r="C224" s="3">
        <v>0</v>
      </c>
      <c r="D224" s="3">
        <v>0</v>
      </c>
      <c r="E224" s="3">
        <f>SUM(38)</f>
        <v>38</v>
      </c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5.75" x14ac:dyDescent="0.5">
      <c r="A225" s="4" t="s">
        <v>226</v>
      </c>
      <c r="B225" s="3">
        <f t="shared" si="3"/>
        <v>38</v>
      </c>
      <c r="C225" s="3">
        <v>0</v>
      </c>
      <c r="D225" s="3">
        <v>0</v>
      </c>
      <c r="E225" s="5"/>
      <c r="F225" s="5"/>
      <c r="G225" s="5"/>
      <c r="H225" s="5"/>
      <c r="I225" s="5"/>
      <c r="J225" s="5"/>
      <c r="K225" s="5"/>
      <c r="L225" s="3">
        <v>38</v>
      </c>
      <c r="M225" s="5"/>
      <c r="N225" s="3"/>
      <c r="O225" s="3"/>
      <c r="P225" s="5"/>
      <c r="Q225" s="5"/>
      <c r="R225" s="5"/>
      <c r="S225" s="5"/>
      <c r="T225" s="5"/>
      <c r="U225" s="5"/>
    </row>
    <row r="226" spans="1:21" ht="15.75" x14ac:dyDescent="0.5">
      <c r="A226" s="4" t="s">
        <v>227</v>
      </c>
      <c r="B226" s="3">
        <f t="shared" si="3"/>
        <v>37</v>
      </c>
      <c r="C226" s="3">
        <v>0</v>
      </c>
      <c r="D226" s="3">
        <v>0</v>
      </c>
      <c r="E226" s="5"/>
      <c r="F226" s="5"/>
      <c r="G226" s="5"/>
      <c r="H226" s="5"/>
      <c r="I226" s="5"/>
      <c r="J226" s="5"/>
      <c r="K226" s="3">
        <v>37</v>
      </c>
      <c r="L226" s="5"/>
      <c r="M226" s="5"/>
      <c r="N226" s="3"/>
      <c r="O226" s="3"/>
      <c r="P226" s="5"/>
      <c r="Q226" s="5"/>
      <c r="R226" s="5"/>
      <c r="S226" s="5"/>
      <c r="T226" s="5"/>
      <c r="U226" s="5"/>
    </row>
    <row r="227" spans="1:21" ht="15.75" x14ac:dyDescent="0.5">
      <c r="A227" s="4" t="s">
        <v>228</v>
      </c>
      <c r="B227" s="3">
        <f t="shared" si="3"/>
        <v>37</v>
      </c>
      <c r="C227" s="3">
        <v>0</v>
      </c>
      <c r="D227" s="3">
        <v>0</v>
      </c>
      <c r="E227" s="5"/>
      <c r="F227" s="5"/>
      <c r="G227" s="5"/>
      <c r="H227" s="5"/>
      <c r="I227" s="5"/>
      <c r="J227" s="5"/>
      <c r="K227" s="3">
        <v>37</v>
      </c>
      <c r="L227" s="5"/>
      <c r="M227" s="5"/>
      <c r="N227" s="3"/>
      <c r="O227" s="3"/>
      <c r="P227" s="5"/>
      <c r="Q227" s="5"/>
      <c r="R227" s="5"/>
      <c r="S227" s="5"/>
      <c r="T227" s="5"/>
      <c r="U227" s="5"/>
    </row>
    <row r="228" spans="1:21" ht="15.75" x14ac:dyDescent="0.5">
      <c r="A228" s="4" t="s">
        <v>229</v>
      </c>
      <c r="B228" s="3">
        <f t="shared" si="3"/>
        <v>34</v>
      </c>
      <c r="C228" s="3">
        <v>0</v>
      </c>
      <c r="D228" s="3">
        <f>SUM(34)</f>
        <v>34</v>
      </c>
    </row>
    <row r="229" spans="1:21" ht="15.75" x14ac:dyDescent="0.5">
      <c r="A229" s="9" t="s">
        <v>230</v>
      </c>
      <c r="B229" s="3">
        <f t="shared" si="3"/>
        <v>34</v>
      </c>
      <c r="C229" s="3">
        <v>0</v>
      </c>
      <c r="D229" s="3">
        <f>SUM(34)</f>
        <v>34</v>
      </c>
    </row>
    <row r="230" spans="1:21" ht="15.75" x14ac:dyDescent="0.5">
      <c r="A230" s="4" t="s">
        <v>231</v>
      </c>
      <c r="B230" s="3">
        <f t="shared" si="3"/>
        <v>34</v>
      </c>
      <c r="C230" s="3">
        <v>0</v>
      </c>
      <c r="D230" s="3">
        <v>0</v>
      </c>
      <c r="E230" s="3">
        <f>SUM(34)</f>
        <v>34</v>
      </c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5.75" x14ac:dyDescent="0.5">
      <c r="A231" s="8" t="s">
        <v>232</v>
      </c>
      <c r="B231" s="3">
        <f t="shared" si="3"/>
        <v>34</v>
      </c>
      <c r="C231" s="3">
        <v>0</v>
      </c>
      <c r="D231" s="3">
        <v>0</v>
      </c>
      <c r="E231" s="3">
        <f>SUM(34)</f>
        <v>34</v>
      </c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5.75" x14ac:dyDescent="0.5">
      <c r="A232" s="8" t="s">
        <v>233</v>
      </c>
      <c r="B232" s="3">
        <f t="shared" si="3"/>
        <v>34</v>
      </c>
      <c r="C232" s="3">
        <v>0</v>
      </c>
      <c r="D232" s="3">
        <v>0</v>
      </c>
      <c r="E232" s="3">
        <f>SUM(34)</f>
        <v>34</v>
      </c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5.75" x14ac:dyDescent="0.5">
      <c r="A233" s="4" t="s">
        <v>234</v>
      </c>
      <c r="B233" s="3">
        <f t="shared" si="3"/>
        <v>34</v>
      </c>
      <c r="C233" s="3">
        <v>0</v>
      </c>
      <c r="D233" s="3">
        <v>0</v>
      </c>
      <c r="E233" s="3">
        <f>SUM(34)</f>
        <v>34</v>
      </c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5.75" x14ac:dyDescent="0.5">
      <c r="A234" s="4" t="s">
        <v>235</v>
      </c>
      <c r="B234" s="3">
        <f t="shared" si="3"/>
        <v>34</v>
      </c>
      <c r="C234" s="3">
        <v>0</v>
      </c>
      <c r="D234" s="3">
        <v>0</v>
      </c>
      <c r="E234" s="5"/>
      <c r="F234" s="3">
        <f t="shared" ref="F234:F240" si="4">SUM(34)</f>
        <v>34</v>
      </c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5.75" x14ac:dyDescent="0.5">
      <c r="A235" s="4" t="s">
        <v>236</v>
      </c>
      <c r="B235" s="3">
        <f t="shared" si="3"/>
        <v>34</v>
      </c>
      <c r="C235" s="3">
        <v>0</v>
      </c>
      <c r="D235" s="3">
        <v>0</v>
      </c>
      <c r="E235" s="5"/>
      <c r="F235" s="3">
        <f t="shared" si="4"/>
        <v>34</v>
      </c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5.75" x14ac:dyDescent="0.5">
      <c r="A236" s="4" t="s">
        <v>237</v>
      </c>
      <c r="B236" s="3">
        <f t="shared" si="3"/>
        <v>34</v>
      </c>
      <c r="C236" s="3">
        <v>0</v>
      </c>
      <c r="D236" s="3">
        <v>0</v>
      </c>
      <c r="E236" s="5"/>
      <c r="F236" s="3">
        <f t="shared" si="4"/>
        <v>34</v>
      </c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5.75" x14ac:dyDescent="0.5">
      <c r="A237" s="4" t="s">
        <v>238</v>
      </c>
      <c r="B237" s="3">
        <f t="shared" si="3"/>
        <v>34</v>
      </c>
      <c r="C237" s="3">
        <v>0</v>
      </c>
      <c r="D237" s="3">
        <v>0</v>
      </c>
      <c r="E237" s="5"/>
      <c r="F237" s="3">
        <f t="shared" si="4"/>
        <v>34</v>
      </c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5.75" x14ac:dyDescent="0.5">
      <c r="A238" s="4" t="s">
        <v>239</v>
      </c>
      <c r="B238" s="3">
        <f t="shared" si="3"/>
        <v>34</v>
      </c>
      <c r="C238" s="3">
        <v>0</v>
      </c>
      <c r="D238" s="3">
        <v>0</v>
      </c>
      <c r="E238" s="5"/>
      <c r="F238" s="3">
        <f t="shared" si="4"/>
        <v>34</v>
      </c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5.75" x14ac:dyDescent="0.5">
      <c r="A239" s="4" t="s">
        <v>240</v>
      </c>
      <c r="B239" s="3">
        <f t="shared" si="3"/>
        <v>34</v>
      </c>
      <c r="C239" s="3">
        <v>0</v>
      </c>
      <c r="D239" s="3">
        <v>0</v>
      </c>
      <c r="E239" s="5"/>
      <c r="F239" s="3">
        <f t="shared" si="4"/>
        <v>34</v>
      </c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5.75" x14ac:dyDescent="0.5">
      <c r="A240" s="4" t="s">
        <v>241</v>
      </c>
      <c r="B240" s="3">
        <f t="shared" si="3"/>
        <v>34</v>
      </c>
      <c r="C240" s="3">
        <v>0</v>
      </c>
      <c r="D240" s="3">
        <v>0</v>
      </c>
      <c r="E240" s="5"/>
      <c r="F240" s="3">
        <f t="shared" si="4"/>
        <v>34</v>
      </c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5.75" x14ac:dyDescent="0.5">
      <c r="A241" s="4" t="s">
        <v>242</v>
      </c>
      <c r="B241" s="3">
        <f t="shared" si="3"/>
        <v>34</v>
      </c>
      <c r="C241" s="3">
        <v>0</v>
      </c>
      <c r="D241" s="3">
        <v>0</v>
      </c>
      <c r="E241" s="5"/>
      <c r="F241" s="5"/>
      <c r="G241" s="5"/>
      <c r="H241" s="5"/>
      <c r="I241" s="5"/>
      <c r="J241" s="3">
        <v>34</v>
      </c>
      <c r="K241" s="5"/>
      <c r="L241" s="5"/>
      <c r="M241" s="5"/>
      <c r="N241" s="3"/>
      <c r="O241" s="3"/>
      <c r="P241" s="5"/>
      <c r="Q241" s="5"/>
      <c r="R241" s="5"/>
      <c r="S241" s="5"/>
      <c r="T241" s="5"/>
      <c r="U241" s="5"/>
    </row>
    <row r="242" spans="1:21" ht="15.75" x14ac:dyDescent="0.5">
      <c r="A242" s="4" t="s">
        <v>243</v>
      </c>
      <c r="B242" s="3">
        <f t="shared" si="3"/>
        <v>34</v>
      </c>
      <c r="C242" s="3">
        <v>0</v>
      </c>
      <c r="D242" s="3">
        <v>0</v>
      </c>
      <c r="E242" s="5"/>
      <c r="F242" s="5"/>
      <c r="G242" s="5"/>
      <c r="H242" s="5"/>
      <c r="I242" s="5"/>
      <c r="J242" s="3">
        <v>34</v>
      </c>
      <c r="K242" s="5"/>
      <c r="L242" s="5"/>
      <c r="M242" s="5"/>
      <c r="N242" s="3"/>
      <c r="O242" s="3"/>
      <c r="P242" s="5"/>
      <c r="Q242" s="5"/>
      <c r="R242" s="5"/>
      <c r="S242" s="5"/>
      <c r="T242" s="5"/>
      <c r="U242" s="5"/>
    </row>
    <row r="243" spans="1:21" ht="15.75" x14ac:dyDescent="0.5">
      <c r="A243" s="4" t="s">
        <v>244</v>
      </c>
      <c r="B243" s="3">
        <f t="shared" si="3"/>
        <v>34</v>
      </c>
      <c r="C243" s="3">
        <v>0</v>
      </c>
      <c r="D243" s="3">
        <v>0</v>
      </c>
      <c r="E243" s="5"/>
      <c r="F243" s="5"/>
      <c r="G243" s="5"/>
      <c r="H243" s="5"/>
      <c r="I243" s="5"/>
      <c r="J243" s="5"/>
      <c r="K243" s="5"/>
      <c r="L243" s="3">
        <v>34</v>
      </c>
      <c r="M243" s="5"/>
      <c r="N243" s="3"/>
      <c r="O243" s="3"/>
      <c r="P243" s="5"/>
      <c r="Q243" s="5"/>
      <c r="R243" s="5"/>
      <c r="S243" s="5"/>
      <c r="T243" s="5"/>
      <c r="U243" s="5"/>
    </row>
    <row r="244" spans="1:21" ht="15.75" x14ac:dyDescent="0.5">
      <c r="A244" s="4" t="s">
        <v>245</v>
      </c>
      <c r="B244" s="3">
        <f t="shared" si="3"/>
        <v>34</v>
      </c>
      <c r="C244" s="3">
        <v>0</v>
      </c>
      <c r="D244" s="3">
        <v>0</v>
      </c>
      <c r="E244" s="5"/>
      <c r="F244" s="5"/>
      <c r="G244" s="5"/>
      <c r="H244" s="5"/>
      <c r="I244" s="5"/>
      <c r="J244" s="5"/>
      <c r="K244" s="5"/>
      <c r="L244" s="5"/>
      <c r="M244" s="3">
        <v>34</v>
      </c>
      <c r="N244" s="3"/>
      <c r="O244" s="3"/>
      <c r="P244" s="5"/>
      <c r="Q244" s="5"/>
      <c r="R244" s="5"/>
      <c r="S244" s="5"/>
      <c r="T244" s="5"/>
      <c r="U244" s="5"/>
    </row>
    <row r="245" spans="1:21" ht="15.75" x14ac:dyDescent="0.5">
      <c r="A245" s="8" t="s">
        <v>246</v>
      </c>
      <c r="B245" s="3">
        <f t="shared" si="3"/>
        <v>33</v>
      </c>
      <c r="C245" s="3">
        <v>0</v>
      </c>
      <c r="D245" s="3">
        <v>0</v>
      </c>
      <c r="E245" s="3">
        <f>SUM(33)</f>
        <v>33</v>
      </c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5.75" x14ac:dyDescent="0.5">
      <c r="A246" s="8" t="s">
        <v>247</v>
      </c>
      <c r="B246" s="3">
        <f t="shared" si="3"/>
        <v>83</v>
      </c>
      <c r="C246" s="3">
        <f>SUM(50)</f>
        <v>50</v>
      </c>
      <c r="D246" s="3">
        <v>0</v>
      </c>
      <c r="E246" s="3">
        <f>SUM(33)</f>
        <v>33</v>
      </c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5.75" x14ac:dyDescent="0.5">
      <c r="A247" s="4" t="s">
        <v>248</v>
      </c>
      <c r="B247" s="3">
        <f t="shared" si="3"/>
        <v>33</v>
      </c>
      <c r="C247" s="3">
        <v>0</v>
      </c>
      <c r="D247" s="3">
        <v>0</v>
      </c>
      <c r="E247" s="5"/>
      <c r="F247" s="5"/>
      <c r="G247" s="5"/>
      <c r="H247" s="5"/>
      <c r="I247" s="5"/>
      <c r="J247" s="3">
        <v>33</v>
      </c>
      <c r="K247" s="5"/>
      <c r="L247" s="5"/>
      <c r="M247" s="5"/>
      <c r="N247" s="3"/>
      <c r="O247" s="3"/>
      <c r="P247" s="5"/>
      <c r="Q247" s="5"/>
      <c r="R247" s="5"/>
      <c r="S247" s="5"/>
      <c r="T247" s="5"/>
      <c r="U247" s="5"/>
    </row>
    <row r="248" spans="1:21" ht="15.75" x14ac:dyDescent="0.5">
      <c r="A248" s="4" t="s">
        <v>249</v>
      </c>
      <c r="B248" s="3">
        <f t="shared" si="3"/>
        <v>33</v>
      </c>
      <c r="C248" s="3">
        <v>0</v>
      </c>
      <c r="D248" s="3">
        <v>0</v>
      </c>
      <c r="E248" s="5"/>
      <c r="F248" s="5"/>
      <c r="G248" s="5"/>
      <c r="H248" s="5"/>
      <c r="I248" s="5"/>
      <c r="J248" s="5"/>
      <c r="K248" s="5"/>
      <c r="L248" s="3">
        <v>33</v>
      </c>
      <c r="M248" s="5"/>
      <c r="N248" s="3"/>
      <c r="O248" s="3"/>
      <c r="P248" s="5"/>
      <c r="Q248" s="5"/>
      <c r="R248" s="5"/>
      <c r="S248" s="5"/>
      <c r="T248" s="5"/>
      <c r="U248" s="5"/>
    </row>
    <row r="249" spans="1:21" ht="15.75" x14ac:dyDescent="0.5">
      <c r="A249" s="4" t="s">
        <v>250</v>
      </c>
      <c r="B249" s="3">
        <f t="shared" si="3"/>
        <v>33</v>
      </c>
      <c r="C249" s="3">
        <v>0</v>
      </c>
      <c r="D249" s="3">
        <v>0</v>
      </c>
      <c r="E249" s="5"/>
      <c r="F249" s="5"/>
      <c r="G249" s="5"/>
      <c r="H249" s="5"/>
      <c r="I249" s="5"/>
      <c r="J249" s="5"/>
      <c r="K249" s="5"/>
      <c r="L249" s="3">
        <v>33</v>
      </c>
      <c r="M249" s="5"/>
      <c r="N249" s="3"/>
      <c r="O249" s="3"/>
      <c r="P249" s="5"/>
      <c r="Q249" s="5"/>
      <c r="R249" s="5"/>
      <c r="S249" s="5"/>
      <c r="T249" s="5"/>
      <c r="U249" s="5"/>
    </row>
    <row r="250" spans="1:21" ht="15.75" x14ac:dyDescent="0.5">
      <c r="A250" s="9" t="s">
        <v>251</v>
      </c>
      <c r="B250" s="3">
        <f t="shared" si="3"/>
        <v>32.799999999999997</v>
      </c>
      <c r="C250" s="3">
        <v>0</v>
      </c>
      <c r="D250" s="3">
        <f>SUM(32.8)</f>
        <v>32.799999999999997</v>
      </c>
    </row>
    <row r="251" spans="1:21" ht="15.75" x14ac:dyDescent="0.5">
      <c r="A251" s="9" t="s">
        <v>252</v>
      </c>
      <c r="B251" s="3">
        <f t="shared" si="3"/>
        <v>32</v>
      </c>
      <c r="C251" s="3">
        <v>0</v>
      </c>
      <c r="D251" s="3">
        <f t="shared" ref="D251:D258" si="5">SUM(32)</f>
        <v>32</v>
      </c>
    </row>
    <row r="252" spans="1:21" ht="15.75" x14ac:dyDescent="0.5">
      <c r="A252" s="9" t="s">
        <v>253</v>
      </c>
      <c r="B252" s="3">
        <f t="shared" si="3"/>
        <v>32</v>
      </c>
      <c r="C252" s="3">
        <v>0</v>
      </c>
      <c r="D252" s="3">
        <f t="shared" si="5"/>
        <v>32</v>
      </c>
    </row>
    <row r="253" spans="1:21" ht="15.75" x14ac:dyDescent="0.5">
      <c r="A253" s="9" t="s">
        <v>254</v>
      </c>
      <c r="B253" s="3">
        <f t="shared" si="3"/>
        <v>67</v>
      </c>
      <c r="C253" s="3">
        <f>SUM(35)</f>
        <v>35</v>
      </c>
      <c r="D253" s="3">
        <f t="shared" si="5"/>
        <v>32</v>
      </c>
    </row>
    <row r="254" spans="1:21" ht="15.75" x14ac:dyDescent="0.5">
      <c r="A254" s="9" t="s">
        <v>255</v>
      </c>
      <c r="B254" s="3">
        <f t="shared" si="3"/>
        <v>82</v>
      </c>
      <c r="C254" s="3">
        <f>SUM(50)</f>
        <v>50</v>
      </c>
      <c r="D254" s="3">
        <f t="shared" si="5"/>
        <v>32</v>
      </c>
    </row>
    <row r="255" spans="1:21" ht="15.75" x14ac:dyDescent="0.5">
      <c r="A255" s="9" t="s">
        <v>256</v>
      </c>
      <c r="B255" s="3">
        <f t="shared" si="3"/>
        <v>32</v>
      </c>
      <c r="C255" s="3">
        <v>0</v>
      </c>
      <c r="D255" s="3">
        <f t="shared" si="5"/>
        <v>32</v>
      </c>
    </row>
    <row r="256" spans="1:21" ht="17.25" customHeight="1" x14ac:dyDescent="0.5">
      <c r="A256" s="9" t="s">
        <v>257</v>
      </c>
      <c r="B256" s="3">
        <f t="shared" si="3"/>
        <v>72</v>
      </c>
      <c r="C256" s="3">
        <f>SUM(40)</f>
        <v>40</v>
      </c>
      <c r="D256" s="3">
        <f t="shared" si="5"/>
        <v>32</v>
      </c>
    </row>
    <row r="257" spans="1:21" ht="15.75" x14ac:dyDescent="0.5">
      <c r="A257" s="12" t="s">
        <v>258</v>
      </c>
      <c r="B257" s="3">
        <f t="shared" si="3"/>
        <v>32</v>
      </c>
      <c r="C257" s="3">
        <v>0</v>
      </c>
      <c r="D257" s="3">
        <f t="shared" si="5"/>
        <v>32</v>
      </c>
    </row>
    <row r="258" spans="1:21" ht="15.75" x14ac:dyDescent="0.5">
      <c r="A258" s="9" t="s">
        <v>259</v>
      </c>
      <c r="B258" s="3">
        <f t="shared" ref="B258:B321" si="6">SUM(C258:U258)</f>
        <v>62</v>
      </c>
      <c r="C258" s="3">
        <f>SUM(30)</f>
        <v>30</v>
      </c>
      <c r="D258" s="3">
        <f t="shared" si="5"/>
        <v>32</v>
      </c>
    </row>
    <row r="259" spans="1:21" ht="15.75" x14ac:dyDescent="0.5">
      <c r="A259" s="4" t="s">
        <v>260</v>
      </c>
      <c r="B259" s="3">
        <f t="shared" si="6"/>
        <v>32</v>
      </c>
      <c r="C259" s="3">
        <v>0</v>
      </c>
      <c r="D259" s="3">
        <v>0</v>
      </c>
      <c r="E259" s="5"/>
      <c r="F259" s="3">
        <f>SUM(32)</f>
        <v>32</v>
      </c>
      <c r="G259" s="5"/>
      <c r="H259" s="5"/>
      <c r="I259" s="5"/>
      <c r="J259" s="5"/>
      <c r="K259" s="5"/>
      <c r="L259" s="5"/>
      <c r="M259" s="5"/>
      <c r="N259" s="3"/>
      <c r="O259" s="3"/>
      <c r="P259" s="5"/>
      <c r="Q259" s="5"/>
      <c r="R259" s="5"/>
      <c r="S259" s="5"/>
      <c r="T259" s="5"/>
      <c r="U259" s="5"/>
    </row>
    <row r="260" spans="1:21" ht="15.75" x14ac:dyDescent="0.5">
      <c r="A260" s="4" t="s">
        <v>261</v>
      </c>
      <c r="B260" s="3">
        <f t="shared" si="6"/>
        <v>32</v>
      </c>
      <c r="C260" s="3">
        <v>0</v>
      </c>
      <c r="D260" s="3">
        <v>0</v>
      </c>
      <c r="E260" s="5"/>
      <c r="F260" s="3">
        <f>SUM(32)</f>
        <v>32</v>
      </c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5.75" x14ac:dyDescent="0.5">
      <c r="A261" s="4" t="s">
        <v>262</v>
      </c>
      <c r="B261" s="3">
        <f t="shared" si="6"/>
        <v>62</v>
      </c>
      <c r="C261" s="3">
        <f>SUM(30)</f>
        <v>30</v>
      </c>
      <c r="D261" s="3">
        <v>0</v>
      </c>
      <c r="E261" s="5"/>
      <c r="F261" s="3">
        <v>32</v>
      </c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5.75" x14ac:dyDescent="0.5">
      <c r="A262" s="4" t="s">
        <v>263</v>
      </c>
      <c r="B262" s="3">
        <f t="shared" si="6"/>
        <v>32</v>
      </c>
      <c r="C262" s="3">
        <v>0</v>
      </c>
      <c r="D262" s="3">
        <v>0</v>
      </c>
      <c r="E262" s="5"/>
      <c r="F262" s="3">
        <f>SUM(32)</f>
        <v>32</v>
      </c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5.75" x14ac:dyDescent="0.5">
      <c r="A263" s="4" t="s">
        <v>264</v>
      </c>
      <c r="B263" s="3">
        <f t="shared" si="6"/>
        <v>32</v>
      </c>
      <c r="C263" s="3">
        <v>0</v>
      </c>
      <c r="D263" s="3">
        <v>0</v>
      </c>
      <c r="E263" s="5"/>
      <c r="F263" s="3">
        <f>SUM(32)</f>
        <v>32</v>
      </c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.75" x14ac:dyDescent="0.5">
      <c r="A264" s="4" t="s">
        <v>265</v>
      </c>
      <c r="B264" s="3">
        <f t="shared" si="6"/>
        <v>32</v>
      </c>
      <c r="C264" s="3">
        <v>0</v>
      </c>
      <c r="D264" s="3">
        <v>0</v>
      </c>
      <c r="E264" s="5"/>
      <c r="F264" s="5"/>
      <c r="G264" s="5"/>
      <c r="H264" s="5"/>
      <c r="I264" s="5"/>
      <c r="J264" s="5"/>
      <c r="K264" s="3">
        <v>32</v>
      </c>
      <c r="L264" s="5"/>
      <c r="M264" s="5"/>
      <c r="N264" s="3"/>
      <c r="O264" s="3"/>
      <c r="P264" s="5"/>
      <c r="Q264" s="5"/>
      <c r="R264" s="5"/>
      <c r="S264" s="5"/>
      <c r="T264" s="5"/>
      <c r="U264" s="5"/>
    </row>
    <row r="265" spans="1:21" ht="15.75" x14ac:dyDescent="0.5">
      <c r="A265" s="4" t="s">
        <v>266</v>
      </c>
      <c r="B265" s="3">
        <f t="shared" si="6"/>
        <v>32</v>
      </c>
      <c r="C265" s="3">
        <v>0</v>
      </c>
      <c r="D265" s="3">
        <v>0</v>
      </c>
      <c r="E265" s="5"/>
      <c r="F265" s="5"/>
      <c r="G265" s="5"/>
      <c r="H265" s="5"/>
      <c r="I265" s="5"/>
      <c r="J265" s="5"/>
      <c r="K265" s="3">
        <v>32</v>
      </c>
      <c r="L265" s="5"/>
      <c r="M265" s="5"/>
      <c r="N265" s="3"/>
      <c r="O265" s="3"/>
      <c r="P265" s="5"/>
      <c r="Q265" s="5"/>
      <c r="R265" s="5"/>
      <c r="S265" s="5"/>
      <c r="T265" s="5"/>
      <c r="U265" s="5"/>
    </row>
    <row r="266" spans="1:21" ht="15.75" x14ac:dyDescent="0.5">
      <c r="A266" s="4" t="s">
        <v>267</v>
      </c>
      <c r="B266" s="3">
        <f t="shared" si="6"/>
        <v>32</v>
      </c>
      <c r="C266" s="3">
        <v>0</v>
      </c>
      <c r="D266" s="3">
        <v>0</v>
      </c>
      <c r="E266" s="5"/>
      <c r="F266" s="5"/>
      <c r="G266" s="5"/>
      <c r="H266" s="5"/>
      <c r="I266" s="5"/>
      <c r="J266" s="5"/>
      <c r="K266" s="5"/>
      <c r="L266" s="3">
        <v>32</v>
      </c>
      <c r="M266" s="5"/>
      <c r="N266" s="3"/>
      <c r="O266" s="3"/>
      <c r="P266" s="5"/>
      <c r="Q266" s="5"/>
      <c r="R266" s="5"/>
      <c r="S266" s="5"/>
      <c r="T266" s="5"/>
      <c r="U266" s="5"/>
    </row>
    <row r="267" spans="1:21" ht="15.75" x14ac:dyDescent="0.5">
      <c r="A267" s="4" t="s">
        <v>268</v>
      </c>
      <c r="B267" s="3">
        <f t="shared" si="6"/>
        <v>32</v>
      </c>
      <c r="C267" s="3">
        <v>0</v>
      </c>
      <c r="D267" s="3">
        <v>0</v>
      </c>
      <c r="E267" s="5"/>
      <c r="F267" s="5"/>
      <c r="G267" s="5"/>
      <c r="H267" s="5"/>
      <c r="I267" s="5"/>
      <c r="J267" s="5"/>
      <c r="K267" s="3">
        <v>32</v>
      </c>
      <c r="L267" s="5"/>
      <c r="M267" s="5"/>
      <c r="N267" s="3"/>
      <c r="O267" s="3"/>
      <c r="P267" s="5"/>
      <c r="Q267" s="5"/>
      <c r="R267" s="5"/>
      <c r="S267" s="5"/>
      <c r="T267" s="5"/>
      <c r="U267" s="5"/>
    </row>
    <row r="268" spans="1:21" ht="15.75" x14ac:dyDescent="0.5">
      <c r="A268" s="4" t="s">
        <v>269</v>
      </c>
      <c r="B268" s="3">
        <f t="shared" si="6"/>
        <v>31.6</v>
      </c>
      <c r="C268" s="3">
        <v>0</v>
      </c>
      <c r="D268" s="3">
        <v>0</v>
      </c>
      <c r="E268" s="3">
        <f>SUM(31.6)</f>
        <v>31.6</v>
      </c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.75" x14ac:dyDescent="0.5">
      <c r="A269" s="9" t="s">
        <v>270</v>
      </c>
      <c r="B269" s="3">
        <f t="shared" si="6"/>
        <v>31</v>
      </c>
      <c r="C269" s="3">
        <v>0</v>
      </c>
      <c r="D269" s="3">
        <f>SUM(31)</f>
        <v>31</v>
      </c>
    </row>
    <row r="270" spans="1:21" ht="15.75" x14ac:dyDescent="0.5">
      <c r="A270" s="9" t="s">
        <v>271</v>
      </c>
      <c r="B270" s="3">
        <f t="shared" si="6"/>
        <v>31</v>
      </c>
      <c r="C270" s="3">
        <v>0</v>
      </c>
      <c r="D270" s="3">
        <f>SUM(31)</f>
        <v>31</v>
      </c>
    </row>
    <row r="271" spans="1:21" ht="15.75" x14ac:dyDescent="0.5">
      <c r="A271" s="8" t="s">
        <v>272</v>
      </c>
      <c r="B271" s="3">
        <f t="shared" si="6"/>
        <v>31</v>
      </c>
      <c r="C271" s="3">
        <v>0</v>
      </c>
      <c r="D271" s="3">
        <v>0</v>
      </c>
      <c r="E271" s="3">
        <f>SUM(31)</f>
        <v>31</v>
      </c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.75" x14ac:dyDescent="0.5">
      <c r="A272" s="4" t="s">
        <v>273</v>
      </c>
      <c r="B272" s="3">
        <f t="shared" si="6"/>
        <v>31</v>
      </c>
      <c r="C272" s="3">
        <v>0</v>
      </c>
      <c r="D272" s="3">
        <v>0</v>
      </c>
      <c r="F272" s="5"/>
      <c r="L272" s="5"/>
      <c r="M272" s="5"/>
      <c r="N272" s="3"/>
      <c r="O272" s="3">
        <v>31</v>
      </c>
    </row>
    <row r="273" spans="1:15" ht="15.75" x14ac:dyDescent="0.5">
      <c r="A273" s="8" t="s">
        <v>274</v>
      </c>
      <c r="B273" s="3">
        <f t="shared" si="6"/>
        <v>85</v>
      </c>
      <c r="C273" s="3">
        <f>SUM(55)</f>
        <v>55</v>
      </c>
      <c r="D273" s="3">
        <f>SUM(30)</f>
        <v>30</v>
      </c>
    </row>
    <row r="274" spans="1:15" ht="15.75" x14ac:dyDescent="0.5">
      <c r="A274" s="8" t="s">
        <v>275</v>
      </c>
      <c r="B274" s="3">
        <f t="shared" si="6"/>
        <v>60</v>
      </c>
      <c r="C274" s="3">
        <f>SUM(30)</f>
        <v>30</v>
      </c>
      <c r="D274" s="3">
        <f>SUM(30)</f>
        <v>30</v>
      </c>
    </row>
    <row r="275" spans="1:15" ht="15.75" x14ac:dyDescent="0.5">
      <c r="A275" s="8" t="s">
        <v>276</v>
      </c>
      <c r="B275" s="3">
        <f t="shared" si="6"/>
        <v>30</v>
      </c>
      <c r="C275" s="3">
        <v>0</v>
      </c>
      <c r="D275" s="3">
        <f>SUM(30)</f>
        <v>30</v>
      </c>
    </row>
    <row r="276" spans="1:15" ht="15.75" x14ac:dyDescent="0.5">
      <c r="A276" s="4" t="s">
        <v>277</v>
      </c>
      <c r="B276" s="3">
        <f t="shared" si="6"/>
        <v>30</v>
      </c>
      <c r="C276" s="3">
        <v>0</v>
      </c>
      <c r="D276" s="3">
        <v>0</v>
      </c>
      <c r="F276" s="3">
        <f>SUM(30)</f>
        <v>30</v>
      </c>
      <c r="L276" s="5"/>
      <c r="M276" s="5"/>
      <c r="N276" s="5"/>
      <c r="O276" s="5"/>
    </row>
    <row r="277" spans="1:15" ht="16.45" customHeight="1" x14ac:dyDescent="0.5">
      <c r="A277" s="4" t="s">
        <v>278</v>
      </c>
      <c r="B277" s="3">
        <f t="shared" si="6"/>
        <v>30</v>
      </c>
      <c r="C277" s="3">
        <v>0</v>
      </c>
      <c r="D277" s="3">
        <v>0</v>
      </c>
      <c r="F277" s="3">
        <f>SUM(30)</f>
        <v>30</v>
      </c>
      <c r="L277" s="5"/>
      <c r="M277" s="5"/>
      <c r="N277" s="5"/>
      <c r="O277" s="5"/>
    </row>
    <row r="278" spans="1:15" ht="14.95" customHeight="1" x14ac:dyDescent="0.5">
      <c r="A278" s="4" t="s">
        <v>279</v>
      </c>
      <c r="B278" s="3">
        <f t="shared" si="6"/>
        <v>30</v>
      </c>
      <c r="C278" s="3">
        <v>0</v>
      </c>
      <c r="D278" s="3">
        <v>0</v>
      </c>
      <c r="L278" s="5"/>
      <c r="M278" s="3">
        <v>30</v>
      </c>
      <c r="N278" s="3"/>
      <c r="O278" s="3"/>
    </row>
    <row r="279" spans="1:15" ht="19.5" customHeight="1" x14ac:dyDescent="0.5">
      <c r="A279" s="4" t="s">
        <v>280</v>
      </c>
      <c r="B279" s="3">
        <f t="shared" si="6"/>
        <v>30</v>
      </c>
      <c r="C279" s="3">
        <v>0</v>
      </c>
      <c r="D279" s="3">
        <v>0</v>
      </c>
      <c r="L279" s="5"/>
      <c r="M279" s="3">
        <v>30</v>
      </c>
      <c r="N279" s="3"/>
      <c r="O279" s="3"/>
    </row>
    <row r="280" spans="1:15" ht="19.5" customHeight="1" x14ac:dyDescent="0.5">
      <c r="A280" s="4" t="s">
        <v>281</v>
      </c>
      <c r="B280" s="3">
        <f t="shared" si="6"/>
        <v>30</v>
      </c>
      <c r="C280" s="3">
        <v>0</v>
      </c>
      <c r="D280" s="3">
        <v>0</v>
      </c>
      <c r="L280" s="3">
        <v>30</v>
      </c>
      <c r="N280" s="3"/>
      <c r="O280" s="3"/>
    </row>
    <row r="281" spans="1:15" ht="15.75" x14ac:dyDescent="0.5">
      <c r="A281" s="4" t="s">
        <v>282</v>
      </c>
      <c r="B281" s="3">
        <f t="shared" si="6"/>
        <v>30</v>
      </c>
      <c r="C281" s="3">
        <v>0</v>
      </c>
      <c r="D281" s="3">
        <v>0</v>
      </c>
      <c r="L281" s="3">
        <v>30</v>
      </c>
      <c r="N281" s="3"/>
      <c r="O281" s="3"/>
    </row>
    <row r="282" spans="1:15" ht="15.75" x14ac:dyDescent="0.5">
      <c r="A282" s="13" t="s">
        <v>283</v>
      </c>
      <c r="B282" s="3">
        <f t="shared" si="6"/>
        <v>266</v>
      </c>
      <c r="C282" s="3">
        <f>SUM(32+54+60+40+80)</f>
        <v>266</v>
      </c>
      <c r="D282" s="3">
        <v>0</v>
      </c>
    </row>
    <row r="283" spans="1:15" ht="15.75" x14ac:dyDescent="0.5">
      <c r="A283" s="6" t="s">
        <v>284</v>
      </c>
      <c r="B283" s="3">
        <f t="shared" si="6"/>
        <v>138.6</v>
      </c>
      <c r="C283" s="3">
        <f>SUM(36+53.6+49)</f>
        <v>138.6</v>
      </c>
      <c r="D283" s="3">
        <v>0</v>
      </c>
    </row>
    <row r="284" spans="1:15" ht="15.75" x14ac:dyDescent="0.5">
      <c r="A284" s="6" t="s">
        <v>285</v>
      </c>
      <c r="B284" s="3">
        <f t="shared" si="6"/>
        <v>166.6</v>
      </c>
      <c r="C284" s="3">
        <f>SUM(31.6+35+60+40)</f>
        <v>166.6</v>
      </c>
      <c r="D284" s="3">
        <v>0</v>
      </c>
    </row>
    <row r="285" spans="1:15" ht="15.75" x14ac:dyDescent="0.5">
      <c r="A285" s="6" t="s">
        <v>286</v>
      </c>
      <c r="B285" s="3">
        <f t="shared" si="6"/>
        <v>244.6</v>
      </c>
      <c r="C285" s="3">
        <f>SUM(49+53.6)</f>
        <v>102.6</v>
      </c>
      <c r="D285" s="3">
        <f>SUM(34+52+56)</f>
        <v>142</v>
      </c>
    </row>
    <row r="286" spans="1:15" ht="15.75" x14ac:dyDescent="0.5">
      <c r="A286" s="6" t="s">
        <v>287</v>
      </c>
      <c r="B286" s="3">
        <f t="shared" si="6"/>
        <v>70</v>
      </c>
      <c r="C286" s="3">
        <f>SUM(30+40)</f>
        <v>70</v>
      </c>
      <c r="D286" s="3"/>
    </row>
    <row r="287" spans="1:15" ht="15.75" x14ac:dyDescent="0.5">
      <c r="A287" s="6" t="s">
        <v>288</v>
      </c>
      <c r="B287" s="3">
        <f t="shared" si="6"/>
        <v>34</v>
      </c>
      <c r="C287" s="3">
        <f>SUM(34)</f>
        <v>34</v>
      </c>
      <c r="D287" s="3">
        <v>0</v>
      </c>
    </row>
    <row r="288" spans="1:15" ht="15.75" x14ac:dyDescent="0.5">
      <c r="A288" s="6" t="s">
        <v>289</v>
      </c>
      <c r="B288" s="3">
        <f t="shared" si="6"/>
        <v>34</v>
      </c>
      <c r="C288" s="3">
        <f>SUM(34)</f>
        <v>34</v>
      </c>
    </row>
    <row r="289" spans="1:12" ht="15.75" x14ac:dyDescent="0.5">
      <c r="A289" s="6" t="s">
        <v>290</v>
      </c>
      <c r="B289" s="3">
        <f t="shared" si="6"/>
        <v>84</v>
      </c>
      <c r="C289" s="3">
        <f>SUM(34+50)</f>
        <v>84</v>
      </c>
    </row>
    <row r="290" spans="1:12" ht="15.75" x14ac:dyDescent="0.5">
      <c r="A290" s="6" t="s">
        <v>291</v>
      </c>
      <c r="B290" s="3">
        <f t="shared" si="6"/>
        <v>30</v>
      </c>
      <c r="C290" s="3">
        <f>SUM(30)</f>
        <v>30</v>
      </c>
    </row>
    <row r="291" spans="1:12" ht="15.75" x14ac:dyDescent="0.5">
      <c r="A291" s="6" t="s">
        <v>292</v>
      </c>
      <c r="B291" s="3">
        <f t="shared" si="6"/>
        <v>494</v>
      </c>
      <c r="C291" s="3">
        <f>SUM(80+122)</f>
        <v>202</v>
      </c>
      <c r="D291" s="6">
        <f>SUM(32+50+50+80+80)</f>
        <v>292</v>
      </c>
    </row>
    <row r="292" spans="1:12" ht="15.75" x14ac:dyDescent="0.5">
      <c r="A292" s="6" t="s">
        <v>293</v>
      </c>
      <c r="B292" s="3">
        <f t="shared" si="6"/>
        <v>80</v>
      </c>
      <c r="C292" s="3">
        <f>SUM(30+50)</f>
        <v>80</v>
      </c>
    </row>
    <row r="293" spans="1:12" ht="15.75" x14ac:dyDescent="0.5">
      <c r="A293" s="6" t="s">
        <v>53</v>
      </c>
      <c r="B293" s="3">
        <f t="shared" si="6"/>
        <v>30</v>
      </c>
      <c r="C293" s="3">
        <f>SUM(30)</f>
        <v>30</v>
      </c>
    </row>
    <row r="294" spans="1:12" ht="15.75" x14ac:dyDescent="0.5">
      <c r="A294" s="6" t="s">
        <v>294</v>
      </c>
      <c r="B294" s="3">
        <f t="shared" si="6"/>
        <v>80</v>
      </c>
      <c r="C294" s="3">
        <f>SUM(30+50)</f>
        <v>80</v>
      </c>
    </row>
    <row r="295" spans="1:12" ht="15.75" x14ac:dyDescent="0.5">
      <c r="A295" s="6" t="s">
        <v>95</v>
      </c>
      <c r="B295" s="3">
        <f t="shared" si="6"/>
        <v>384</v>
      </c>
      <c r="C295" s="3">
        <f>SUM(55+80)</f>
        <v>135</v>
      </c>
      <c r="D295" s="6">
        <f>SUM(53)</f>
        <v>53</v>
      </c>
      <c r="E295" s="6">
        <f>SUM(57+51+54)</f>
        <v>162</v>
      </c>
      <c r="F295" s="6">
        <f>SUM(34)</f>
        <v>34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</row>
    <row r="296" spans="1:12" ht="15.75" x14ac:dyDescent="0.5">
      <c r="A296" s="6" t="s">
        <v>295</v>
      </c>
      <c r="B296" s="3">
        <f t="shared" si="6"/>
        <v>35</v>
      </c>
      <c r="C296" s="3">
        <f>SUM(35)</f>
        <v>35</v>
      </c>
    </row>
    <row r="297" spans="1:12" ht="15.75" x14ac:dyDescent="0.5">
      <c r="B297" s="3">
        <f t="shared" si="6"/>
        <v>0</v>
      </c>
      <c r="C297" s="3">
        <v>0</v>
      </c>
    </row>
    <row r="298" spans="1:12" ht="15.75" x14ac:dyDescent="0.5">
      <c r="B298" s="3">
        <f t="shared" si="6"/>
        <v>0</v>
      </c>
      <c r="C298" s="3">
        <v>0</v>
      </c>
    </row>
    <row r="299" spans="1:12" ht="15.75" x14ac:dyDescent="0.5">
      <c r="A299" s="6" t="s">
        <v>296</v>
      </c>
      <c r="B299" s="3">
        <f t="shared" si="6"/>
        <v>0</v>
      </c>
      <c r="C299" s="3">
        <v>0</v>
      </c>
    </row>
    <row r="300" spans="1:12" ht="15.75" x14ac:dyDescent="0.5">
      <c r="B300" s="3">
        <f t="shared" si="6"/>
        <v>0</v>
      </c>
      <c r="C300" s="3">
        <v>0</v>
      </c>
    </row>
    <row r="301" spans="1:12" ht="15.75" x14ac:dyDescent="0.5">
      <c r="B301" s="3">
        <f t="shared" si="6"/>
        <v>0</v>
      </c>
      <c r="C301" s="3">
        <v>0</v>
      </c>
    </row>
    <row r="302" spans="1:12" ht="15.75" x14ac:dyDescent="0.5">
      <c r="B302" s="3">
        <f t="shared" si="6"/>
        <v>0</v>
      </c>
      <c r="C302" s="3">
        <v>0</v>
      </c>
    </row>
    <row r="303" spans="1:12" ht="15.75" x14ac:dyDescent="0.5">
      <c r="B303" s="3">
        <f t="shared" si="6"/>
        <v>0</v>
      </c>
      <c r="C303" s="3">
        <v>0</v>
      </c>
    </row>
    <row r="304" spans="1:12" ht="15.75" x14ac:dyDescent="0.5">
      <c r="B304" s="3">
        <f t="shared" si="6"/>
        <v>0</v>
      </c>
      <c r="C304" s="3">
        <v>0</v>
      </c>
    </row>
    <row r="305" spans="2:3" ht="15.75" x14ac:dyDescent="0.5">
      <c r="B305" s="3">
        <f t="shared" si="6"/>
        <v>0</v>
      </c>
      <c r="C305" s="3">
        <v>0</v>
      </c>
    </row>
    <row r="306" spans="2:3" ht="15.75" x14ac:dyDescent="0.5">
      <c r="B306" s="3">
        <f t="shared" si="6"/>
        <v>0</v>
      </c>
      <c r="C306" s="3">
        <v>0</v>
      </c>
    </row>
    <row r="307" spans="2:3" ht="15.75" x14ac:dyDescent="0.5">
      <c r="B307" s="3">
        <f t="shared" si="6"/>
        <v>0</v>
      </c>
      <c r="C307" s="3">
        <v>0</v>
      </c>
    </row>
    <row r="308" spans="2:3" ht="15.75" x14ac:dyDescent="0.5">
      <c r="B308" s="3">
        <f t="shared" si="6"/>
        <v>0</v>
      </c>
      <c r="C308" s="3">
        <v>0</v>
      </c>
    </row>
    <row r="309" spans="2:3" ht="15.75" x14ac:dyDescent="0.5">
      <c r="B309" s="3">
        <f t="shared" si="6"/>
        <v>0</v>
      </c>
      <c r="C309" s="3">
        <v>0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481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 Maldre</dc:creator>
  <cp:lastModifiedBy>Lauri Maldre</cp:lastModifiedBy>
  <cp:revision>30</cp:revision>
  <dcterms:created xsi:type="dcterms:W3CDTF">2017-08-25T07:54:05Z</dcterms:created>
  <dcterms:modified xsi:type="dcterms:W3CDTF">2017-08-25T07:54:05Z</dcterms:modified>
</cp:coreProperties>
</file>