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i\Documents\"/>
    </mc:Choice>
  </mc:AlternateContent>
  <bookViews>
    <workbookView xWindow="0" yWindow="0" windowWidth="24000" windowHeight="10515"/>
  </bookViews>
  <sheets>
    <sheet name="Hobused koos" sheetId="1" r:id="rId1"/>
    <sheet name="aegunud" sheetId="2" r:id="rId2"/>
  </sheets>
  <calcPr calcId="171027" fullCalcOnLoad="1" iterateDelta="1E-4"/>
</workbook>
</file>

<file path=xl/calcChain.xml><?xml version="1.0" encoding="utf-8"?>
<calcChain xmlns="http://schemas.openxmlformats.org/spreadsheetml/2006/main">
  <c r="B44" i="2" l="1"/>
  <c r="B37" i="2"/>
  <c r="B42" i="2"/>
  <c r="B41" i="2"/>
  <c r="B36" i="2"/>
  <c r="B32" i="2"/>
  <c r="B31" i="2"/>
  <c r="B30" i="2"/>
  <c r="B28" i="2"/>
  <c r="B25" i="2"/>
  <c r="B24" i="2"/>
  <c r="B23" i="2"/>
  <c r="B20" i="2"/>
  <c r="B18" i="2"/>
  <c r="B17" i="2"/>
  <c r="B16" i="2"/>
  <c r="B15" i="2"/>
  <c r="B14" i="2"/>
  <c r="B11" i="2"/>
  <c r="B10" i="2"/>
  <c r="B5" i="2"/>
  <c r="B3" i="2"/>
  <c r="B309" i="1"/>
  <c r="B308" i="1"/>
  <c r="B307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E294" i="1"/>
  <c r="D294" i="1"/>
  <c r="B294" i="1" s="1"/>
  <c r="C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D286" i="1"/>
  <c r="B286" i="1"/>
  <c r="D285" i="1"/>
  <c r="B285" i="1"/>
  <c r="B284" i="1"/>
  <c r="B283" i="1"/>
  <c r="B282" i="1"/>
  <c r="F281" i="1"/>
  <c r="B281" i="1" s="1"/>
  <c r="C281" i="1"/>
  <c r="F280" i="1"/>
  <c r="B280" i="1"/>
  <c r="F279" i="1"/>
  <c r="B279" i="1"/>
  <c r="F278" i="1"/>
  <c r="B278" i="1"/>
  <c r="F277" i="1"/>
  <c r="B277" i="1"/>
  <c r="F276" i="1"/>
  <c r="B276" i="1"/>
  <c r="D275" i="1"/>
  <c r="C275" i="1"/>
  <c r="B275" i="1" s="1"/>
  <c r="E274" i="1"/>
  <c r="B274" i="1" s="1"/>
  <c r="D273" i="1"/>
  <c r="B273" i="1" s="1"/>
  <c r="E272" i="1"/>
  <c r="B272" i="1" s="1"/>
  <c r="E271" i="1"/>
  <c r="C271" i="1"/>
  <c r="B271" i="1"/>
  <c r="E270" i="1"/>
  <c r="B270" i="1"/>
  <c r="D269" i="1"/>
  <c r="C269" i="1"/>
  <c r="B269" i="1" s="1"/>
  <c r="E268" i="1"/>
  <c r="B268" i="1" s="1"/>
  <c r="D267" i="1"/>
  <c r="B267" i="1" s="1"/>
  <c r="C267" i="1"/>
  <c r="D266" i="1"/>
  <c r="C266" i="1"/>
  <c r="B266" i="1" s="1"/>
  <c r="D265" i="1"/>
  <c r="B265" i="1" s="1"/>
  <c r="D264" i="1"/>
  <c r="B264" i="1" s="1"/>
  <c r="D263" i="1"/>
  <c r="C263" i="1"/>
  <c r="B263" i="1"/>
  <c r="D262" i="1"/>
  <c r="B262" i="1"/>
  <c r="D261" i="1"/>
  <c r="B261" i="1"/>
  <c r="F260" i="1"/>
  <c r="B260" i="1"/>
  <c r="F259" i="1"/>
  <c r="B259" i="1"/>
  <c r="B258" i="1"/>
  <c r="B257" i="1"/>
  <c r="D256" i="1"/>
  <c r="B256" i="1"/>
  <c r="D255" i="1"/>
  <c r="C255" i="1"/>
  <c r="B255" i="1" s="1"/>
  <c r="D254" i="1"/>
  <c r="B254" i="1" s="1"/>
  <c r="D253" i="1"/>
  <c r="B253" i="1" s="1"/>
  <c r="D252" i="1"/>
  <c r="B252" i="1" s="1"/>
  <c r="D251" i="1"/>
  <c r="B251" i="1" s="1"/>
  <c r="D250" i="1"/>
  <c r="B250" i="1" s="1"/>
  <c r="D249" i="1"/>
  <c r="B249" i="1" s="1"/>
  <c r="D248" i="1"/>
  <c r="B248" i="1" s="1"/>
  <c r="D247" i="1"/>
  <c r="B247" i="1" s="1"/>
  <c r="D246" i="1"/>
  <c r="B246" i="1" s="1"/>
  <c r="D245" i="1"/>
  <c r="B245" i="1" s="1"/>
  <c r="E244" i="1"/>
  <c r="B244" i="1" s="1"/>
  <c r="C244" i="1"/>
  <c r="E243" i="1"/>
  <c r="B243" i="1"/>
  <c r="B242" i="1"/>
  <c r="B241" i="1"/>
  <c r="D240" i="1"/>
  <c r="B240" i="1"/>
  <c r="D239" i="1"/>
  <c r="B239" i="1"/>
  <c r="E238" i="1"/>
  <c r="B238" i="1"/>
  <c r="E237" i="1"/>
  <c r="B237" i="1"/>
  <c r="E236" i="1"/>
  <c r="B236" i="1"/>
  <c r="E235" i="1"/>
  <c r="B235" i="1"/>
  <c r="E234" i="1"/>
  <c r="B234" i="1"/>
  <c r="F233" i="1"/>
  <c r="B233" i="1"/>
  <c r="F232" i="1"/>
  <c r="B232" i="1"/>
  <c r="F231" i="1"/>
  <c r="B231" i="1"/>
  <c r="F230" i="1"/>
  <c r="B230" i="1"/>
  <c r="F229" i="1"/>
  <c r="B229" i="1"/>
  <c r="B228" i="1"/>
  <c r="B227" i="1"/>
  <c r="F226" i="1"/>
  <c r="B226" i="1"/>
  <c r="F225" i="1"/>
  <c r="B225" i="1"/>
  <c r="D224" i="1"/>
  <c r="B224" i="1"/>
  <c r="E223" i="1"/>
  <c r="B223" i="1"/>
  <c r="B222" i="1"/>
  <c r="F221" i="1"/>
  <c r="B221" i="1" s="1"/>
  <c r="F220" i="1"/>
  <c r="B220" i="1" s="1"/>
  <c r="F219" i="1"/>
  <c r="B219" i="1" s="1"/>
  <c r="B218" i="1"/>
  <c r="B217" i="1"/>
  <c r="B216" i="1"/>
  <c r="B215" i="1"/>
  <c r="B214" i="1"/>
  <c r="B213" i="1"/>
  <c r="B212" i="1"/>
  <c r="B211" i="1"/>
  <c r="B210" i="1"/>
  <c r="E209" i="1"/>
  <c r="B209" i="1"/>
  <c r="E208" i="1"/>
  <c r="B208" i="1"/>
  <c r="B207" i="1"/>
  <c r="B206" i="1"/>
  <c r="B205" i="1"/>
  <c r="B204" i="1"/>
  <c r="B203" i="1"/>
  <c r="B202" i="1"/>
  <c r="D201" i="1"/>
  <c r="B201" i="1"/>
  <c r="D200" i="1"/>
  <c r="B200" i="1"/>
  <c r="B199" i="1"/>
  <c r="B198" i="1"/>
  <c r="B197" i="1"/>
  <c r="B196" i="1"/>
  <c r="E195" i="1"/>
  <c r="B195" i="1"/>
  <c r="F194" i="1"/>
  <c r="E194" i="1"/>
  <c r="B194" i="1" s="1"/>
  <c r="D193" i="1"/>
  <c r="B193" i="1" s="1"/>
  <c r="C193" i="1"/>
  <c r="B192" i="1"/>
  <c r="B191" i="1"/>
  <c r="D190" i="1"/>
  <c r="C190" i="1"/>
  <c r="B190" i="1" s="1"/>
  <c r="D189" i="1"/>
  <c r="B189" i="1" s="1"/>
  <c r="F188" i="1"/>
  <c r="B188" i="1" s="1"/>
  <c r="F187" i="1"/>
  <c r="B187" i="1" s="1"/>
  <c r="B186" i="1"/>
  <c r="B185" i="1"/>
  <c r="B184" i="1"/>
  <c r="B183" i="1"/>
  <c r="E182" i="1"/>
  <c r="B182" i="1" s="1"/>
  <c r="B181" i="1"/>
  <c r="B180" i="1"/>
  <c r="B179" i="1"/>
  <c r="F178" i="1"/>
  <c r="B178" i="1"/>
  <c r="E177" i="1"/>
  <c r="D177" i="1"/>
  <c r="B177" i="1" s="1"/>
  <c r="D176" i="1"/>
  <c r="B176" i="1" s="1"/>
  <c r="C176" i="1"/>
  <c r="B175" i="1"/>
  <c r="D174" i="1"/>
  <c r="B174" i="1" s="1"/>
  <c r="C174" i="1"/>
  <c r="D173" i="1"/>
  <c r="B173" i="1"/>
  <c r="D172" i="1"/>
  <c r="B172" i="1"/>
  <c r="F171" i="1"/>
  <c r="B171" i="1"/>
  <c r="F170" i="1"/>
  <c r="B170" i="1"/>
  <c r="F169" i="1"/>
  <c r="B169" i="1"/>
  <c r="E168" i="1"/>
  <c r="B168" i="1"/>
  <c r="E167" i="1"/>
  <c r="D167" i="1"/>
  <c r="B167" i="1" s="1"/>
  <c r="E166" i="1"/>
  <c r="B166" i="1" s="1"/>
  <c r="B165" i="1"/>
  <c r="D164" i="1"/>
  <c r="B164" i="1"/>
  <c r="D163" i="1"/>
  <c r="C163" i="1"/>
  <c r="B163" i="1" s="1"/>
  <c r="F162" i="1"/>
  <c r="E162" i="1"/>
  <c r="B162" i="1"/>
  <c r="D161" i="1"/>
  <c r="C161" i="1"/>
  <c r="B161" i="1" s="1"/>
  <c r="B160" i="1"/>
  <c r="F159" i="1"/>
  <c r="E159" i="1"/>
  <c r="B159" i="1" s="1"/>
  <c r="B158" i="1"/>
  <c r="B157" i="1"/>
  <c r="B156" i="1"/>
  <c r="B155" i="1"/>
  <c r="D154" i="1"/>
  <c r="B154" i="1" s="1"/>
  <c r="C154" i="1"/>
  <c r="E153" i="1"/>
  <c r="B153" i="1"/>
  <c r="E152" i="1"/>
  <c r="B152" i="1"/>
  <c r="E151" i="1"/>
  <c r="D151" i="1"/>
  <c r="B151" i="1" s="1"/>
  <c r="B150" i="1"/>
  <c r="F149" i="1"/>
  <c r="E149" i="1"/>
  <c r="B149" i="1" s="1"/>
  <c r="E148" i="1"/>
  <c r="D148" i="1"/>
  <c r="B148" i="1"/>
  <c r="E147" i="1"/>
  <c r="D147" i="1"/>
  <c r="B147" i="1" s="1"/>
  <c r="D146" i="1"/>
  <c r="B146" i="1" s="1"/>
  <c r="D145" i="1"/>
  <c r="B145" i="1" s="1"/>
  <c r="B144" i="1"/>
  <c r="B143" i="1"/>
  <c r="B142" i="1"/>
  <c r="F141" i="1"/>
  <c r="E141" i="1"/>
  <c r="B141" i="1" s="1"/>
  <c r="E140" i="1"/>
  <c r="B140" i="1" s="1"/>
  <c r="F139" i="1"/>
  <c r="E139" i="1"/>
  <c r="C139" i="1"/>
  <c r="B139" i="1" s="1"/>
  <c r="B138" i="1"/>
  <c r="B137" i="1"/>
  <c r="E136" i="1"/>
  <c r="B136" i="1" s="1"/>
  <c r="E135" i="1"/>
  <c r="B135" i="1" s="1"/>
  <c r="E134" i="1"/>
  <c r="D134" i="1"/>
  <c r="C134" i="1"/>
  <c r="B134" i="1" s="1"/>
  <c r="E133" i="1"/>
  <c r="D133" i="1"/>
  <c r="C133" i="1"/>
  <c r="B133" i="1" s="1"/>
  <c r="E132" i="1"/>
  <c r="B132" i="1" s="1"/>
  <c r="F131" i="1"/>
  <c r="B131" i="1" s="1"/>
  <c r="B130" i="1"/>
  <c r="F129" i="1"/>
  <c r="E129" i="1"/>
  <c r="B129" i="1" s="1"/>
  <c r="D129" i="1"/>
  <c r="F128" i="1"/>
  <c r="B128" i="1"/>
  <c r="B127" i="1"/>
  <c r="F126" i="1"/>
  <c r="B126" i="1" s="1"/>
  <c r="E125" i="1"/>
  <c r="B125" i="1" s="1"/>
  <c r="D125" i="1"/>
  <c r="D124" i="1"/>
  <c r="C124" i="1"/>
  <c r="B124" i="1" s="1"/>
  <c r="B123" i="1"/>
  <c r="B122" i="1"/>
  <c r="F121" i="1"/>
  <c r="B121" i="1" s="1"/>
  <c r="E121" i="1"/>
  <c r="B120" i="1"/>
  <c r="F119" i="1"/>
  <c r="B119" i="1" s="1"/>
  <c r="E119" i="1"/>
  <c r="F118" i="1"/>
  <c r="B118" i="1"/>
  <c r="B117" i="1"/>
  <c r="B116" i="1"/>
  <c r="B115" i="1"/>
  <c r="D114" i="1"/>
  <c r="B114" i="1" s="1"/>
  <c r="C114" i="1"/>
  <c r="B113" i="1"/>
  <c r="G112" i="1"/>
  <c r="B112" i="1" s="1"/>
  <c r="F112" i="1"/>
  <c r="E111" i="1"/>
  <c r="D111" i="1"/>
  <c r="B111" i="1" s="1"/>
  <c r="D110" i="1"/>
  <c r="C110" i="1"/>
  <c r="B110" i="1"/>
  <c r="E109" i="1"/>
  <c r="C109" i="1"/>
  <c r="B109" i="1" s="1"/>
  <c r="D108" i="1"/>
  <c r="B108" i="1" s="1"/>
  <c r="E107" i="1"/>
  <c r="D107" i="1"/>
  <c r="B107" i="1"/>
  <c r="E106" i="1"/>
  <c r="D106" i="1"/>
  <c r="C106" i="1"/>
  <c r="B106" i="1"/>
  <c r="E105" i="1"/>
  <c r="D105" i="1"/>
  <c r="C105" i="1"/>
  <c r="B105" i="1"/>
  <c r="B104" i="1"/>
  <c r="D103" i="1"/>
  <c r="C103" i="1"/>
  <c r="B103" i="1"/>
  <c r="D102" i="1"/>
  <c r="C102" i="1"/>
  <c r="B102" i="1" s="1"/>
  <c r="F101" i="1"/>
  <c r="B101" i="1" s="1"/>
  <c r="E101" i="1"/>
  <c r="D100" i="1"/>
  <c r="C100" i="1"/>
  <c r="B100" i="1" s="1"/>
  <c r="B99" i="1"/>
  <c r="E98" i="1"/>
  <c r="D98" i="1"/>
  <c r="B98" i="1" s="1"/>
  <c r="D97" i="1"/>
  <c r="C97" i="1"/>
  <c r="B97" i="1"/>
  <c r="E96" i="1"/>
  <c r="B96" i="1"/>
  <c r="B95" i="1"/>
  <c r="B94" i="1"/>
  <c r="B93" i="1"/>
  <c r="G92" i="1"/>
  <c r="F92" i="1"/>
  <c r="B92" i="1"/>
  <c r="F91" i="1"/>
  <c r="E91" i="1"/>
  <c r="D91" i="1"/>
  <c r="B91" i="1"/>
  <c r="E90" i="1"/>
  <c r="D90" i="1"/>
  <c r="B90" i="1" s="1"/>
  <c r="E89" i="1"/>
  <c r="D89" i="1"/>
  <c r="C89" i="1"/>
  <c r="B89" i="1" s="1"/>
  <c r="B88" i="1"/>
  <c r="B87" i="1"/>
  <c r="B86" i="1"/>
  <c r="E85" i="1"/>
  <c r="D85" i="1"/>
  <c r="B85" i="1" s="1"/>
  <c r="C85" i="1"/>
  <c r="B84" i="1"/>
  <c r="E83" i="1"/>
  <c r="B83" i="1" s="1"/>
  <c r="D83" i="1"/>
  <c r="B82" i="1"/>
  <c r="B81" i="1"/>
  <c r="F80" i="1"/>
  <c r="E80" i="1"/>
  <c r="D80" i="1"/>
  <c r="B80" i="1"/>
  <c r="F79" i="1"/>
  <c r="E79" i="1"/>
  <c r="B79" i="1" s="1"/>
  <c r="D78" i="1"/>
  <c r="B78" i="1" s="1"/>
  <c r="C78" i="1"/>
  <c r="B77" i="1"/>
  <c r="E76" i="1"/>
  <c r="D76" i="1"/>
  <c r="C76" i="1"/>
  <c r="B76" i="1" s="1"/>
  <c r="E75" i="1"/>
  <c r="D75" i="1"/>
  <c r="C75" i="1"/>
  <c r="B75" i="1" s="1"/>
  <c r="E74" i="1"/>
  <c r="D74" i="1"/>
  <c r="C74" i="1"/>
  <c r="B74" i="1" s="1"/>
  <c r="E73" i="1"/>
  <c r="D73" i="1"/>
  <c r="C73" i="1"/>
  <c r="B73" i="1" s="1"/>
  <c r="E72" i="1"/>
  <c r="D72" i="1"/>
  <c r="C72" i="1"/>
  <c r="B72" i="1" s="1"/>
  <c r="F71" i="1"/>
  <c r="E71" i="1"/>
  <c r="D71" i="1"/>
  <c r="B71" i="1" s="1"/>
  <c r="F70" i="1"/>
  <c r="E70" i="1"/>
  <c r="D70" i="1"/>
  <c r="B70" i="1" s="1"/>
  <c r="B69" i="1"/>
  <c r="B68" i="1"/>
  <c r="B67" i="1"/>
  <c r="B66" i="1"/>
  <c r="F65" i="1"/>
  <c r="E65" i="1"/>
  <c r="D65" i="1"/>
  <c r="C65" i="1"/>
  <c r="B65" i="1"/>
  <c r="F64" i="1"/>
  <c r="E64" i="1"/>
  <c r="D64" i="1"/>
  <c r="C64" i="1"/>
  <c r="B64" i="1" s="1"/>
  <c r="B63" i="1"/>
  <c r="G62" i="1"/>
  <c r="F62" i="1"/>
  <c r="B62" i="1" s="1"/>
  <c r="E62" i="1"/>
  <c r="B61" i="1"/>
  <c r="F60" i="1"/>
  <c r="B60" i="1" s="1"/>
  <c r="D60" i="1"/>
  <c r="E59" i="1"/>
  <c r="D59" i="1"/>
  <c r="B59" i="1" s="1"/>
  <c r="F58" i="1"/>
  <c r="E58" i="1"/>
  <c r="D58" i="1"/>
  <c r="B58" i="1" s="1"/>
  <c r="F57" i="1"/>
  <c r="E57" i="1"/>
  <c r="B57" i="1"/>
  <c r="E56" i="1"/>
  <c r="D56" i="1"/>
  <c r="C56" i="1"/>
  <c r="B56" i="1"/>
  <c r="F55" i="1"/>
  <c r="E55" i="1"/>
  <c r="B55" i="1" s="1"/>
  <c r="B54" i="1"/>
  <c r="B53" i="1"/>
  <c r="E52" i="1"/>
  <c r="D52" i="1"/>
  <c r="C52" i="1"/>
  <c r="B52" i="1" s="1"/>
  <c r="F51" i="1"/>
  <c r="E51" i="1"/>
  <c r="D51" i="1"/>
  <c r="B51" i="1" s="1"/>
  <c r="B50" i="1"/>
  <c r="B49" i="1"/>
  <c r="B48" i="1"/>
  <c r="F47" i="1"/>
  <c r="E47" i="1"/>
  <c r="D47" i="1"/>
  <c r="C47" i="1"/>
  <c r="B47" i="1" s="1"/>
  <c r="F46" i="1"/>
  <c r="B46" i="1" s="1"/>
  <c r="F45" i="1"/>
  <c r="E45" i="1"/>
  <c r="D45" i="1"/>
  <c r="C45" i="1"/>
  <c r="B45" i="1"/>
  <c r="E44" i="1"/>
  <c r="D44" i="1"/>
  <c r="C44" i="1"/>
  <c r="B44" i="1"/>
  <c r="B43" i="1"/>
  <c r="F42" i="1"/>
  <c r="E42" i="1"/>
  <c r="D42" i="1"/>
  <c r="B42" i="1" s="1"/>
  <c r="C42" i="1"/>
  <c r="F41" i="1"/>
  <c r="E41" i="1"/>
  <c r="B41" i="1" s="1"/>
  <c r="F40" i="1"/>
  <c r="E40" i="1"/>
  <c r="D40" i="1"/>
  <c r="B40" i="1" s="1"/>
  <c r="C40" i="1"/>
  <c r="B39" i="1"/>
  <c r="F38" i="1"/>
  <c r="E38" i="1"/>
  <c r="D38" i="1"/>
  <c r="C38" i="1"/>
  <c r="B38" i="1"/>
  <c r="F37" i="1"/>
  <c r="E37" i="1"/>
  <c r="D37" i="1"/>
  <c r="B37" i="1"/>
  <c r="F36" i="1"/>
  <c r="E36" i="1"/>
  <c r="D36" i="1"/>
  <c r="C36" i="1"/>
  <c r="B36" i="1" s="1"/>
  <c r="B35" i="1"/>
  <c r="G34" i="1"/>
  <c r="F34" i="1"/>
  <c r="E34" i="1"/>
  <c r="C34" i="1"/>
  <c r="B34" i="1" s="1"/>
  <c r="G33" i="1"/>
  <c r="F33" i="1"/>
  <c r="E33" i="1"/>
  <c r="D33" i="1"/>
  <c r="C33" i="1"/>
  <c r="B33" i="1" s="1"/>
  <c r="F32" i="1"/>
  <c r="E32" i="1"/>
  <c r="D32" i="1"/>
  <c r="B32" i="1" s="1"/>
  <c r="C32" i="1"/>
  <c r="H31" i="1"/>
  <c r="G31" i="1"/>
  <c r="F31" i="1"/>
  <c r="E31" i="1"/>
  <c r="B31" i="1" s="1"/>
  <c r="B30" i="1"/>
  <c r="G29" i="1"/>
  <c r="F29" i="1"/>
  <c r="E29" i="1"/>
  <c r="D29" i="1"/>
  <c r="B29" i="1" s="1"/>
  <c r="C29" i="1"/>
  <c r="F28" i="1"/>
  <c r="E28" i="1"/>
  <c r="D28" i="1"/>
  <c r="C28" i="1"/>
  <c r="B28" i="1" s="1"/>
  <c r="F27" i="1"/>
  <c r="B27" i="1" s="1"/>
  <c r="E27" i="1"/>
  <c r="D27" i="1"/>
  <c r="C27" i="1"/>
  <c r="F26" i="1"/>
  <c r="E26" i="1"/>
  <c r="D26" i="1"/>
  <c r="C26" i="1"/>
  <c r="B26" i="1" s="1"/>
  <c r="B25" i="1"/>
  <c r="B24" i="1"/>
  <c r="B23" i="1"/>
  <c r="F22" i="1"/>
  <c r="B22" i="1"/>
  <c r="F21" i="1"/>
  <c r="E21" i="1"/>
  <c r="D21" i="1"/>
  <c r="C21" i="1"/>
  <c r="B21" i="1" s="1"/>
  <c r="F20" i="1"/>
  <c r="E20" i="1"/>
  <c r="D20" i="1"/>
  <c r="C20" i="1"/>
  <c r="B20" i="1"/>
  <c r="F19" i="1"/>
  <c r="E19" i="1"/>
  <c r="B19" i="1" s="1"/>
  <c r="F18" i="1"/>
  <c r="E18" i="1"/>
  <c r="D18" i="1"/>
  <c r="C18" i="1"/>
  <c r="B18" i="1"/>
  <c r="B17" i="1"/>
  <c r="F16" i="1"/>
  <c r="E16" i="1"/>
  <c r="D16" i="1"/>
  <c r="B16" i="1" s="1"/>
  <c r="C16" i="1"/>
  <c r="F15" i="1"/>
  <c r="E15" i="1"/>
  <c r="D15" i="1"/>
  <c r="C15" i="1"/>
  <c r="B15" i="1" s="1"/>
  <c r="F14" i="1"/>
  <c r="B14" i="1" s="1"/>
  <c r="E14" i="1"/>
  <c r="B13" i="1"/>
  <c r="B12" i="1"/>
  <c r="F11" i="1"/>
  <c r="E11" i="1"/>
  <c r="D11" i="1"/>
  <c r="C11" i="1"/>
  <c r="B11" i="1" s="1"/>
  <c r="F10" i="1"/>
  <c r="E10" i="1"/>
  <c r="D10" i="1"/>
  <c r="B10" i="1" s="1"/>
  <c r="F9" i="1"/>
  <c r="E9" i="1"/>
  <c r="D9" i="1"/>
  <c r="B9" i="1" s="1"/>
  <c r="C9" i="1"/>
  <c r="F8" i="1"/>
  <c r="E8" i="1"/>
  <c r="D8" i="1"/>
  <c r="C8" i="1"/>
  <c r="B8" i="1" s="1"/>
  <c r="F7" i="1"/>
  <c r="B7" i="1" s="1"/>
  <c r="E7" i="1"/>
  <c r="D7" i="1"/>
  <c r="C7" i="1"/>
  <c r="E6" i="1"/>
  <c r="D6" i="1"/>
  <c r="B6" i="1" s="1"/>
  <c r="F5" i="1"/>
  <c r="E5" i="1"/>
  <c r="D5" i="1"/>
  <c r="C5" i="1"/>
  <c r="B5" i="1"/>
  <c r="F4" i="1"/>
  <c r="E4" i="1"/>
  <c r="D4" i="1"/>
  <c r="B4" i="1"/>
  <c r="F3" i="1"/>
  <c r="E3" i="1"/>
  <c r="D3" i="1"/>
  <c r="C3" i="1"/>
  <c r="B3" i="1" s="1"/>
  <c r="F2" i="1"/>
  <c r="E2" i="1"/>
  <c r="D2" i="1"/>
  <c r="B2" i="1" s="1"/>
  <c r="C2" i="1"/>
</calcChain>
</file>

<file path=xl/comments1.xml><?xml version="1.0" encoding="utf-8"?>
<comments xmlns="http://schemas.openxmlformats.org/spreadsheetml/2006/main">
  <authors>
    <author/>
  </authors>
  <commentList>
    <comment ref="D46" authorId="0" shapeId="0">
      <text>
        <r>
          <rPr>
            <sz val="10"/>
            <color rgb="FF000000"/>
            <rFont val="Arial"/>
            <family val="2"/>
          </rPr>
          <t>Kasutaja:</t>
        </r>
      </text>
    </comment>
  </commentList>
</comments>
</file>

<file path=xl/sharedStrings.xml><?xml version="1.0" encoding="utf-8"?>
<sst xmlns="http://schemas.openxmlformats.org/spreadsheetml/2006/main" count="1380" uniqueCount="1328">
  <si>
    <t>Hobune</t>
  </si>
  <si>
    <t>km kokku</t>
  </si>
  <si>
    <t>enne 2000</t>
  </si>
  <si>
    <t>Baltimor</t>
  </si>
  <si>
    <t>Filly Bella</t>
  </si>
  <si>
    <t>Jethro</t>
  </si>
  <si>
    <t>Kilvet</t>
  </si>
  <si>
    <t>Byron</t>
  </si>
  <si>
    <t>Pleyon</t>
  </si>
  <si>
    <t>Nilsson</t>
  </si>
  <si>
    <t>Amanda</t>
  </si>
  <si>
    <t>Frank Fränk</t>
  </si>
  <si>
    <t>Herr Hugo</t>
  </si>
  <si>
    <t>Galarina</t>
  </si>
  <si>
    <t>Fiasko</t>
  </si>
  <si>
    <t>Nola</t>
  </si>
  <si>
    <t>Ecuador Baff</t>
  </si>
  <si>
    <t>Fatas Zanisbaar</t>
  </si>
  <si>
    <t>Jadu</t>
  </si>
  <si>
    <t>Paragon</t>
  </si>
  <si>
    <t>Suzuki</t>
  </si>
  <si>
    <t>Jalizza Adamas</t>
  </si>
  <si>
    <t>Nella</t>
  </si>
  <si>
    <t>Memphis</t>
  </si>
  <si>
    <t>Sebastian</t>
  </si>
  <si>
    <t>Nero</t>
  </si>
  <si>
    <t>Oopus</t>
  </si>
  <si>
    <t>Ilueedi</t>
  </si>
  <si>
    <t>Parzival</t>
  </si>
  <si>
    <t>Local Sunshine</t>
  </si>
  <si>
    <t>Galaxy</t>
  </si>
  <si>
    <t>Wierusz</t>
  </si>
  <si>
    <t>Super pearl</t>
  </si>
  <si>
    <t>Assmann</t>
  </si>
  <si>
    <t>Sofa</t>
  </si>
  <si>
    <t>Thor Emira</t>
  </si>
  <si>
    <t>Adidas</t>
  </si>
  <si>
    <t>SALSA</t>
  </si>
  <si>
    <t>Cairo OX</t>
  </si>
  <si>
    <t>Jaliszko</t>
  </si>
  <si>
    <t>Mozart</t>
  </si>
  <si>
    <t>Samurai</t>
  </si>
  <si>
    <t>Tigris Line</t>
  </si>
  <si>
    <t>Vigor</t>
  </si>
  <si>
    <t>AdmiralB</t>
  </si>
  <si>
    <t>POLEDRA</t>
  </si>
  <si>
    <t>Atrillo</t>
  </si>
  <si>
    <t>Amorita</t>
  </si>
  <si>
    <t>Bergama</t>
  </si>
  <si>
    <t>Brethila</t>
  </si>
  <si>
    <t>Arhuuskonventsioon</t>
  </si>
  <si>
    <t>Samurai junior</t>
  </si>
  <si>
    <t>Michel</t>
  </si>
  <si>
    <t>WIN O`FAYA</t>
  </si>
  <si>
    <t>Aabram</t>
  </si>
  <si>
    <t>Fantaghiro</t>
  </si>
  <si>
    <t>Greek Ministra</t>
  </si>
  <si>
    <t>GUNPOWDER BOY</t>
  </si>
  <si>
    <t>FARID IBN SHADWAN</t>
  </si>
  <si>
    <t>Ruudik</t>
  </si>
  <si>
    <t>CVR ATHINO OX</t>
  </si>
  <si>
    <t>MAZUNA'S JASMIN</t>
  </si>
  <si>
    <t>Zlatograd</t>
  </si>
  <si>
    <t>Vandah el Aryes</t>
  </si>
  <si>
    <t>Simson</t>
  </si>
  <si>
    <t>Fix</t>
  </si>
  <si>
    <t>JAMILA EL AWRAH OX</t>
  </si>
  <si>
    <t>Frühling Kassarist</t>
  </si>
  <si>
    <t>Atlas</t>
  </si>
  <si>
    <t>Mahal Zadida</t>
  </si>
  <si>
    <t>Nobel</t>
  </si>
  <si>
    <t>PIRATE</t>
  </si>
  <si>
    <t>Rumba-Arma</t>
  </si>
  <si>
    <t>Mercy (SP)</t>
  </si>
  <si>
    <t>Penton</t>
  </si>
  <si>
    <t>PENELOPE</t>
  </si>
  <si>
    <t>VON VÜRTSPETER</t>
  </si>
  <si>
    <t>VIVA-DENUSTE OX</t>
  </si>
  <si>
    <t>Vilgas</t>
  </si>
  <si>
    <t xml:space="preserve">           Mustafo Malabah</t>
  </si>
  <si>
    <t>Autor</t>
  </si>
  <si>
    <t>Viiking</t>
  </si>
  <si>
    <t>Fakiir Kassarist</t>
  </si>
  <si>
    <t>Pärlike</t>
  </si>
  <si>
    <t>DAGÖ BANKER</t>
  </si>
  <si>
    <t>Orhidee</t>
  </si>
  <si>
    <t>Luukas</t>
  </si>
  <si>
    <t>Dimitri Donskoi</t>
  </si>
  <si>
    <t>Africana</t>
  </si>
  <si>
    <t>Arabel</t>
  </si>
  <si>
    <t>AMAL EL AWRAH OX</t>
  </si>
  <si>
    <t>Rossa</t>
  </si>
  <si>
    <t>Kalibar</t>
  </si>
  <si>
    <t>Alora</t>
  </si>
  <si>
    <t>Muusik</t>
  </si>
  <si>
    <t>Surra-Muura-Donna</t>
  </si>
  <si>
    <t>Maybach</t>
  </si>
  <si>
    <t>GRETI-GREY</t>
  </si>
  <si>
    <t xml:space="preserve">                   Mahdi</t>
  </si>
  <si>
    <t>CHIQUITA</t>
  </si>
  <si>
    <t>Gilmor</t>
  </si>
  <si>
    <t>Gold Street Boy</t>
  </si>
  <si>
    <t>OOFY</t>
  </si>
  <si>
    <t xml:space="preserve">                  Gepara OX</t>
  </si>
  <si>
    <t xml:space="preserve">       JASIM EL AWRAH OX</t>
  </si>
  <si>
    <t>Ariman</t>
  </si>
  <si>
    <t>PÄIKE</t>
  </si>
  <si>
    <t>Fanny</t>
  </si>
  <si>
    <t>Feeling Banker</t>
  </si>
  <si>
    <t>Pralinee</t>
  </si>
  <si>
    <t>QUITO EL INDALO OX</t>
  </si>
  <si>
    <t>Larka</t>
  </si>
  <si>
    <t>BREMEN</t>
  </si>
  <si>
    <t>Olwen</t>
  </si>
  <si>
    <t>Sheik</t>
  </si>
  <si>
    <t>Fiona</t>
  </si>
  <si>
    <t>Baron</t>
  </si>
  <si>
    <t>Mikser</t>
  </si>
  <si>
    <t>Presto</t>
  </si>
  <si>
    <t>U Passion</t>
  </si>
  <si>
    <t>Ansip</t>
  </si>
  <si>
    <t>Go-go Printsess</t>
  </si>
  <si>
    <t>MY POLO JP</t>
  </si>
  <si>
    <t>Askant</t>
  </si>
  <si>
    <t>Eeva</t>
  </si>
  <si>
    <t xml:space="preserve">      BALTAZAR EL INDALO OX</t>
  </si>
  <si>
    <t>JAY CLAIM</t>
  </si>
  <si>
    <t>BEAUTY TOOMA</t>
  </si>
  <si>
    <t>Zandberg S Naomi</t>
  </si>
  <si>
    <t>KAARMA</t>
  </si>
  <si>
    <t>VIIROK</t>
  </si>
  <si>
    <t>Viirus</t>
  </si>
  <si>
    <t>Piiga</t>
  </si>
  <si>
    <t>BRITA</t>
  </si>
  <si>
    <t>ETNIES</t>
  </si>
  <si>
    <t>Siesta</t>
  </si>
  <si>
    <t>FAIRI KASSARIST</t>
  </si>
  <si>
    <t>Penno</t>
  </si>
  <si>
    <t>Donna-Bella</t>
  </si>
  <si>
    <t>Elium</t>
  </si>
  <si>
    <t>Paros</t>
  </si>
  <si>
    <t>RAFIAH OX</t>
  </si>
  <si>
    <t>Royal Pearl</t>
  </si>
  <si>
    <t>Roswell</t>
  </si>
  <si>
    <t>Sonja</t>
  </si>
  <si>
    <t>Maggie Sharmant</t>
  </si>
  <si>
    <t>KARLA DE FONTANEL</t>
  </si>
  <si>
    <r>
      <t>RELIKVIA</t>
    </r>
    <r>
      <rPr>
        <b/>
        <sz val="12"/>
        <color rgb="FF000000"/>
        <rFont val="Liberation Sans"/>
      </rPr>
      <t>RELIKVIARELIKVIARELIKVIARELIKVIARELIKVIARELIKVIARELIKVIARELIKVIA</t>
    </r>
  </si>
  <si>
    <t>Herr Harat</t>
  </si>
  <si>
    <t>Armi</t>
  </si>
  <si>
    <t>Gianni</t>
  </si>
  <si>
    <t>Go-Go Aaron</t>
  </si>
  <si>
    <t>Lissabon</t>
  </si>
  <si>
    <t>Viko</t>
  </si>
  <si>
    <t>Vips</t>
  </si>
  <si>
    <t>Belegia</t>
  </si>
  <si>
    <t>Gurmaan</t>
  </si>
  <si>
    <t>Lucky Pinnacle</t>
  </si>
  <si>
    <t>Prunts</t>
  </si>
  <si>
    <t>Cadillac</t>
  </si>
  <si>
    <t>Bingo</t>
  </si>
  <si>
    <t>Deisi</t>
  </si>
  <si>
    <t>Mon Hera</t>
  </si>
  <si>
    <t>PERCIPUS</t>
  </si>
  <si>
    <t>Kesgin</t>
  </si>
  <si>
    <t>Trend</t>
  </si>
  <si>
    <t>Hiiu Haldjas</t>
  </si>
  <si>
    <t>MON LADY (SP)</t>
  </si>
  <si>
    <t>KABEIDON</t>
  </si>
  <si>
    <t>REMARK</t>
  </si>
  <si>
    <t>TRUMM</t>
  </si>
  <si>
    <t>ODYSSEIA</t>
  </si>
  <si>
    <t>Kitekät</t>
  </si>
  <si>
    <t xml:space="preserve">                 Pugatshova</t>
  </si>
  <si>
    <t>Ragazza</t>
  </si>
  <si>
    <t>Riks</t>
  </si>
  <si>
    <t>Cedrik</t>
  </si>
  <si>
    <t>KINDERSURPRISE</t>
  </si>
  <si>
    <t>Tepsi</t>
  </si>
  <si>
    <t>Prodway</t>
  </si>
  <si>
    <t>Zorro</t>
  </si>
  <si>
    <t>Aada</t>
  </si>
  <si>
    <t>TOASKE OET DE BEKZIED</t>
  </si>
  <si>
    <t>Balzak</t>
  </si>
  <si>
    <t>Bordeaux</t>
  </si>
  <si>
    <t>Dinaar</t>
  </si>
  <si>
    <t>Eesav</t>
  </si>
  <si>
    <t>Rabat- Arma</t>
  </si>
  <si>
    <t>Risk-Arma</t>
  </si>
  <si>
    <t>Mihkel-Muhkel</t>
  </si>
  <si>
    <t>Loke</t>
  </si>
  <si>
    <t>Melu</t>
  </si>
  <si>
    <t>Piira</t>
  </si>
  <si>
    <t>Ravell</t>
  </si>
  <si>
    <t>CESJA</t>
  </si>
  <si>
    <t>Härel</t>
  </si>
  <si>
    <t>Shamori</t>
  </si>
  <si>
    <t>Cvr Astoria</t>
  </si>
  <si>
    <t>Ufo</t>
  </si>
  <si>
    <t>Valetine ox</t>
  </si>
  <si>
    <t>Vinge</t>
  </si>
  <si>
    <t>Vaarao</t>
  </si>
  <si>
    <t>Rivaneera</t>
  </si>
  <si>
    <t>Good Hunting</t>
  </si>
  <si>
    <t>Aurora</t>
  </si>
  <si>
    <t>Orlando</t>
  </si>
  <si>
    <t>Landys</t>
  </si>
  <si>
    <t>Azartas</t>
  </si>
  <si>
    <t>FOLLE</t>
  </si>
  <si>
    <t>HYLKE VROUCK</t>
  </si>
  <si>
    <t>Reka</t>
  </si>
  <si>
    <t>Viroonia</t>
  </si>
  <si>
    <t>Herstog</t>
  </si>
  <si>
    <t>Mistress</t>
  </si>
  <si>
    <t>Nelli</t>
  </si>
  <si>
    <t>Tequila</t>
  </si>
  <si>
    <t>Oidipus</t>
  </si>
  <si>
    <t>Hera</t>
  </si>
  <si>
    <t>Big Doll</t>
  </si>
  <si>
    <t>PANIS CAYENNE</t>
  </si>
  <si>
    <t>HIIU HERSEDES</t>
  </si>
  <si>
    <t>ROXI (SP)</t>
  </si>
  <si>
    <t>Lonny</t>
  </si>
  <si>
    <t>Karri</t>
  </si>
  <si>
    <t>Aqilah</t>
  </si>
  <si>
    <t>Raasuke</t>
  </si>
  <si>
    <t>Twix</t>
  </si>
  <si>
    <t>Otto Osborn</t>
  </si>
  <si>
    <t>Aida</t>
  </si>
  <si>
    <t>YETI FLY DE LANDETTE</t>
  </si>
  <si>
    <t>Hermala</t>
  </si>
  <si>
    <t>PRINTSESS BLACKY</t>
  </si>
  <si>
    <t>M Polo</t>
  </si>
  <si>
    <t>Ats</t>
  </si>
  <si>
    <t>HABITUAL DANCER</t>
  </si>
  <si>
    <t>NEFF</t>
  </si>
  <si>
    <t>Paula</t>
  </si>
  <si>
    <t>Alma</t>
  </si>
  <si>
    <t>Fairy-Tale</t>
  </si>
  <si>
    <t>Mullikile</t>
  </si>
  <si>
    <t>Mister Tondi</t>
  </si>
  <si>
    <t>Pinoccio</t>
  </si>
  <si>
    <t>Altius</t>
  </si>
  <si>
    <t>SAMURAI`S MIRACLE</t>
  </si>
  <si>
    <t xml:space="preserve">                     PRINZ</t>
  </si>
  <si>
    <t>Meelis</t>
  </si>
  <si>
    <t>Mantra</t>
  </si>
  <si>
    <t>Effi Nile</t>
  </si>
  <si>
    <t>Ralli</t>
  </si>
  <si>
    <t>Rivanera</t>
  </si>
  <si>
    <t>Raal</t>
  </si>
  <si>
    <t>Kaevatsi LA</t>
  </si>
  <si>
    <t>Lucy</t>
  </si>
  <si>
    <t>Kustav</t>
  </si>
  <si>
    <t>Svetlana</t>
  </si>
  <si>
    <t>Anella</t>
  </si>
  <si>
    <t>Reemus</t>
  </si>
  <si>
    <t>Matrix</t>
  </si>
  <si>
    <t>Perla</t>
  </si>
  <si>
    <t>E-Tibu</t>
  </si>
  <si>
    <t>LILLEMONS THUNDERACE</t>
  </si>
  <si>
    <t>Amishu</t>
  </si>
  <si>
    <t>Habitual Dancer</t>
  </si>
  <si>
    <t>HR.Hanks</t>
  </si>
  <si>
    <t>Fruty</t>
  </si>
  <si>
    <t>Riida</t>
  </si>
  <si>
    <t>Hermela</t>
  </si>
  <si>
    <t>Riviera Lunette</t>
  </si>
  <si>
    <t>Aslan</t>
  </si>
  <si>
    <t>Robyn</t>
  </si>
  <si>
    <t>Kiho</t>
  </si>
  <si>
    <t>RAFAEL</t>
  </si>
  <si>
    <t>ELEX</t>
  </si>
  <si>
    <t>A.Rosita</t>
  </si>
  <si>
    <t>HERR DIMUHA</t>
  </si>
  <si>
    <t xml:space="preserve">                     TEMPU</t>
  </si>
  <si>
    <t>Ruutu</t>
  </si>
  <si>
    <t>Perun</t>
  </si>
  <si>
    <t>HULTAJKA</t>
  </si>
  <si>
    <t>ARNO (SP)</t>
  </si>
  <si>
    <t>RO - RO</t>
  </si>
  <si>
    <t>Hedi</t>
  </si>
  <si>
    <t>Futurama</t>
  </si>
  <si>
    <t>Palooma</t>
  </si>
  <si>
    <t>Roki</t>
  </si>
  <si>
    <t>Prita</t>
  </si>
  <si>
    <t>Gabryel ox</t>
  </si>
  <si>
    <t>Vironia ox</t>
  </si>
  <si>
    <t>Rooni</t>
  </si>
  <si>
    <t>Simone ox</t>
  </si>
  <si>
    <t>Perfect Timing</t>
  </si>
  <si>
    <t>Odile`</t>
  </si>
  <si>
    <t>RASHID OX</t>
  </si>
  <si>
    <t>Laferme</t>
  </si>
  <si>
    <t>Turtas</t>
  </si>
  <si>
    <t>Alausas ox</t>
  </si>
  <si>
    <t>Avatar</t>
  </si>
  <si>
    <t>Petronella</t>
  </si>
  <si>
    <t>Solaris</t>
  </si>
  <si>
    <t>Leonardo</t>
  </si>
  <si>
    <t>Abellamy ox</t>
  </si>
  <si>
    <t>Pocahontas ox</t>
  </si>
  <si>
    <t>Sipsik</t>
  </si>
  <si>
    <t>Landora</t>
  </si>
  <si>
    <t>X.Y.Z.Gladiator</t>
  </si>
  <si>
    <t>viimane uuendus 18.07.17</t>
  </si>
  <si>
    <t>enne2000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</si>
  <si>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</si>
  <si>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</si>
  <si>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</si>
  <si>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</si>
  <si>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</si>
  <si>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</si>
  <si>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</si>
  <si>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</si>
  <si>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</si>
  <si>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</si>
  <si>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</si>
  <si>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</si>
  <si>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</si>
  <si>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</si>
  <si>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</si>
  <si>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</si>
  <si>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</si>
  <si>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</si>
  <si>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</si>
  <si>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</si>
  <si>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</si>
  <si>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</si>
  <si>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</si>
  <si>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</si>
  <si>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</si>
  <si>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</si>
  <si>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</si>
  <si>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</si>
  <si>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</si>
  <si>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</si>
  <si>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</si>
  <si>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</si>
  <si>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</si>
  <si>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</si>
  <si>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</si>
  <si>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</si>
  <si>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</si>
  <si>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</si>
  <si>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</si>
  <si>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</si>
  <si>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</si>
  <si>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</si>
  <si>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</si>
  <si>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</si>
  <si>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</si>
  <si>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</si>
  <si>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</si>
  <si>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</si>
  <si>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</si>
  <si>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</si>
  <si>
    <t>Column33</t>
  </si>
  <si>
    <t>Column34</t>
  </si>
  <si>
    <t>Column35</t>
  </si>
  <si>
    <t>Column36</t>
  </si>
  <si>
    <t>Column37</t>
  </si>
  <si>
    <t>Column38</t>
  </si>
  <si>
    <t>Column39</t>
  </si>
  <si>
    <t>Column40</t>
  </si>
  <si>
    <t>Column41</t>
  </si>
  <si>
    <t>Column42</t>
  </si>
  <si>
    <t>Column43</t>
  </si>
  <si>
    <t>Column44</t>
  </si>
  <si>
    <t>Column45</t>
  </si>
  <si>
    <t>Column46</t>
  </si>
  <si>
    <t>Column47</t>
  </si>
  <si>
    <t>Column48</t>
  </si>
  <si>
    <t>Column49</t>
  </si>
  <si>
    <t>Column50</t>
  </si>
  <si>
    <t>Column51</t>
  </si>
  <si>
    <t>Column52</t>
  </si>
  <si>
    <t>Column53</t>
  </si>
  <si>
    <t>Column54</t>
  </si>
  <si>
    <t>Column55</t>
  </si>
  <si>
    <t>Column56</t>
  </si>
  <si>
    <t>Column57</t>
  </si>
  <si>
    <t>Column58</t>
  </si>
  <si>
    <t>Column59</t>
  </si>
  <si>
    <t>Column60</t>
  </si>
  <si>
    <t>Column61</t>
  </si>
  <si>
    <t>Column62</t>
  </si>
  <si>
    <t>Column63</t>
  </si>
  <si>
    <t>Column64</t>
  </si>
  <si>
    <t>Column65</t>
  </si>
  <si>
    <t>Column66</t>
  </si>
  <si>
    <t>Column67</t>
  </si>
  <si>
    <t>Column68</t>
  </si>
  <si>
    <t>Column69</t>
  </si>
  <si>
    <t>Column70</t>
  </si>
  <si>
    <t>Column71</t>
  </si>
  <si>
    <t>Column72</t>
  </si>
  <si>
    <t>Column73</t>
  </si>
  <si>
    <t>Column74</t>
  </si>
  <si>
    <t>Column75</t>
  </si>
  <si>
    <t>Column76</t>
  </si>
  <si>
    <t>Column77</t>
  </si>
  <si>
    <t>Column78</t>
  </si>
  <si>
    <t>Column79</t>
  </si>
  <si>
    <t>Column80</t>
  </si>
  <si>
    <t>Column81</t>
  </si>
  <si>
    <t>Column82</t>
  </si>
  <si>
    <t>Column83</t>
  </si>
  <si>
    <t>Column84</t>
  </si>
  <si>
    <t>Column85</t>
  </si>
  <si>
    <t>Column86</t>
  </si>
  <si>
    <t>Column87</t>
  </si>
  <si>
    <t>Column88</t>
  </si>
  <si>
    <t>Column89</t>
  </si>
  <si>
    <t>Column90</t>
  </si>
  <si>
    <t>Column91</t>
  </si>
  <si>
    <t>Column92</t>
  </si>
  <si>
    <t>Column93</t>
  </si>
  <si>
    <t>Column94</t>
  </si>
  <si>
    <t>Column95</t>
  </si>
  <si>
    <t>Column96</t>
  </si>
  <si>
    <t>Column97</t>
  </si>
  <si>
    <t>Column98</t>
  </si>
  <si>
    <t>Column99</t>
  </si>
  <si>
    <t>Column100</t>
  </si>
  <si>
    <t>Column101</t>
  </si>
  <si>
    <t>Column102</t>
  </si>
  <si>
    <t>Column103</t>
  </si>
  <si>
    <t>Column104</t>
  </si>
  <si>
    <t>Column105</t>
  </si>
  <si>
    <t>Column106</t>
  </si>
  <si>
    <t>Column107</t>
  </si>
  <si>
    <t>Column108</t>
  </si>
  <si>
    <t>Column109</t>
  </si>
  <si>
    <t>Column110</t>
  </si>
  <si>
    <t>Column111</t>
  </si>
  <si>
    <t>Column112</t>
  </si>
  <si>
    <t>Column113</t>
  </si>
  <si>
    <t>Column114</t>
  </si>
  <si>
    <t>Column115</t>
  </si>
  <si>
    <t>Column116</t>
  </si>
  <si>
    <t>Column117</t>
  </si>
  <si>
    <t>Column118</t>
  </si>
  <si>
    <t>Column119</t>
  </si>
  <si>
    <t>Column120</t>
  </si>
  <si>
    <t>Column121</t>
  </si>
  <si>
    <t>Column122</t>
  </si>
  <si>
    <t>Column123</t>
  </si>
  <si>
    <t>Column124</t>
  </si>
  <si>
    <t>Column125</t>
  </si>
  <si>
    <t>Column126</t>
  </si>
  <si>
    <t>Column127</t>
  </si>
  <si>
    <t>Column128</t>
  </si>
  <si>
    <t>Column129</t>
  </si>
  <si>
    <t>Column130</t>
  </si>
  <si>
    <t>Column131</t>
  </si>
  <si>
    <t>Column132</t>
  </si>
  <si>
    <t>Column133</t>
  </si>
  <si>
    <t>Column134</t>
  </si>
  <si>
    <t>Column135</t>
  </si>
  <si>
    <t>Column136</t>
  </si>
  <si>
    <t>Column137</t>
  </si>
  <si>
    <t>Column138</t>
  </si>
  <si>
    <t>Column139</t>
  </si>
  <si>
    <t>Column140</t>
  </si>
  <si>
    <t>Column141</t>
  </si>
  <si>
    <t>Column142</t>
  </si>
  <si>
    <t>Column143</t>
  </si>
  <si>
    <t>Column144</t>
  </si>
  <si>
    <t>Column145</t>
  </si>
  <si>
    <t>Column146</t>
  </si>
  <si>
    <t>Column147</t>
  </si>
  <si>
    <t>Column148</t>
  </si>
  <si>
    <t>Column149</t>
  </si>
  <si>
    <t>Column150</t>
  </si>
  <si>
    <t>Column151</t>
  </si>
  <si>
    <t>Column152</t>
  </si>
  <si>
    <t>Column153</t>
  </si>
  <si>
    <t>Column154</t>
  </si>
  <si>
    <t>Column155</t>
  </si>
  <si>
    <t>Column156</t>
  </si>
  <si>
    <t>Column157</t>
  </si>
  <si>
    <t>Column158</t>
  </si>
  <si>
    <t>Column159</t>
  </si>
  <si>
    <t>Column160</t>
  </si>
  <si>
    <t>Column161</t>
  </si>
  <si>
    <t>Column162</t>
  </si>
  <si>
    <t>Column163</t>
  </si>
  <si>
    <t>Column164</t>
  </si>
  <si>
    <t>Column165</t>
  </si>
  <si>
    <t>Column166</t>
  </si>
  <si>
    <t>Column167</t>
  </si>
  <si>
    <t>Column168</t>
  </si>
  <si>
    <t>Column169</t>
  </si>
  <si>
    <t>Column170</t>
  </si>
  <si>
    <t>Column171</t>
  </si>
  <si>
    <t>Column172</t>
  </si>
  <si>
    <t>Column173</t>
  </si>
  <si>
    <t>Column174</t>
  </si>
  <si>
    <t>Column175</t>
  </si>
  <si>
    <t>Column176</t>
  </si>
  <si>
    <t>Column177</t>
  </si>
  <si>
    <t>Column178</t>
  </si>
  <si>
    <t>Column179</t>
  </si>
  <si>
    <t>Column180</t>
  </si>
  <si>
    <t>Column181</t>
  </si>
  <si>
    <t>Column182</t>
  </si>
  <si>
    <t>Column183</t>
  </si>
  <si>
    <t>Column184</t>
  </si>
  <si>
    <t>Column185</t>
  </si>
  <si>
    <t>Column186</t>
  </si>
  <si>
    <t>Column187</t>
  </si>
  <si>
    <t>Column188</t>
  </si>
  <si>
    <t>Column189</t>
  </si>
  <si>
    <t>Column190</t>
  </si>
  <si>
    <t>Column191</t>
  </si>
  <si>
    <t>Column192</t>
  </si>
  <si>
    <t>Column193</t>
  </si>
  <si>
    <t>Column194</t>
  </si>
  <si>
    <t>Column195</t>
  </si>
  <si>
    <t>Column196</t>
  </si>
  <si>
    <t>Column197</t>
  </si>
  <si>
    <t>Column198</t>
  </si>
  <si>
    <t>Column199</t>
  </si>
  <si>
    <t>Column200</t>
  </si>
  <si>
    <t>Column201</t>
  </si>
  <si>
    <t>Column202</t>
  </si>
  <si>
    <t>Column203</t>
  </si>
  <si>
    <t>Column204</t>
  </si>
  <si>
    <t>Column205</t>
  </si>
  <si>
    <t>Column206</t>
  </si>
  <si>
    <t>Column207</t>
  </si>
  <si>
    <t>Column208</t>
  </si>
  <si>
    <t>Column209</t>
  </si>
  <si>
    <t>Column210</t>
  </si>
  <si>
    <t>Column211</t>
  </si>
  <si>
    <t>Column212</t>
  </si>
  <si>
    <t>Column213</t>
  </si>
  <si>
    <t>Column214</t>
  </si>
  <si>
    <t>Column215</t>
  </si>
  <si>
    <t>Column216</t>
  </si>
  <si>
    <t>Column217</t>
  </si>
  <si>
    <t>Column218</t>
  </si>
  <si>
    <t>Column219</t>
  </si>
  <si>
    <t>Column220</t>
  </si>
  <si>
    <t>Column221</t>
  </si>
  <si>
    <t>Column222</t>
  </si>
  <si>
    <t>Column223</t>
  </si>
  <si>
    <t>Column224</t>
  </si>
  <si>
    <t>Column225</t>
  </si>
  <si>
    <t>Column226</t>
  </si>
  <si>
    <t>Column227</t>
  </si>
  <si>
    <t>Column228</t>
  </si>
  <si>
    <t>Column229</t>
  </si>
  <si>
    <t>Column230</t>
  </si>
  <si>
    <t>Column231</t>
  </si>
  <si>
    <t>Column232</t>
  </si>
  <si>
    <t>Column233</t>
  </si>
  <si>
    <t>Column234</t>
  </si>
  <si>
    <t>Column235</t>
  </si>
  <si>
    <t>Column236</t>
  </si>
  <si>
    <t>Column237</t>
  </si>
  <si>
    <t>Column238</t>
  </si>
  <si>
    <t>Column239</t>
  </si>
  <si>
    <t>Column240</t>
  </si>
  <si>
    <t>Column241</t>
  </si>
  <si>
    <t>Column242</t>
  </si>
  <si>
    <t>Column243</t>
  </si>
  <si>
    <t>Column244</t>
  </si>
  <si>
    <t>Column245</t>
  </si>
  <si>
    <t>Column246</t>
  </si>
  <si>
    <t>Column247</t>
  </si>
  <si>
    <t>Column248</t>
  </si>
  <si>
    <t>Column249</t>
  </si>
  <si>
    <t>Column250</t>
  </si>
  <si>
    <t>Column251</t>
  </si>
  <si>
    <t>Column252</t>
  </si>
  <si>
    <t>Column253</t>
  </si>
  <si>
    <t>Column254</t>
  </si>
  <si>
    <t>Column255</t>
  </si>
  <si>
    <t>Column256</t>
  </si>
  <si>
    <t>Column257</t>
  </si>
  <si>
    <t>Column258</t>
  </si>
  <si>
    <t>Column259</t>
  </si>
  <si>
    <t>Column260</t>
  </si>
  <si>
    <t>Column261</t>
  </si>
  <si>
    <t>Column262</t>
  </si>
  <si>
    <t>Column263</t>
  </si>
  <si>
    <t>Column264</t>
  </si>
  <si>
    <t>Column265</t>
  </si>
  <si>
    <t>Column266</t>
  </si>
  <si>
    <t>Column267</t>
  </si>
  <si>
    <t>Column268</t>
  </si>
  <si>
    <t>Column269</t>
  </si>
  <si>
    <t>Column270</t>
  </si>
  <si>
    <t>Column271</t>
  </si>
  <si>
    <t>Column272</t>
  </si>
  <si>
    <t>Column273</t>
  </si>
  <si>
    <t>Column274</t>
  </si>
  <si>
    <t>Column275</t>
  </si>
  <si>
    <t>Column276</t>
  </si>
  <si>
    <t>Column277</t>
  </si>
  <si>
    <t>Column278</t>
  </si>
  <si>
    <t>Column279</t>
  </si>
  <si>
    <t>Column280</t>
  </si>
  <si>
    <t>Column281</t>
  </si>
  <si>
    <t>Column282</t>
  </si>
  <si>
    <t>Column283</t>
  </si>
  <si>
    <t>Column284</t>
  </si>
  <si>
    <t>Column285</t>
  </si>
  <si>
    <t>Column286</t>
  </si>
  <si>
    <t>Column287</t>
  </si>
  <si>
    <t>Column288</t>
  </si>
  <si>
    <t>Column289</t>
  </si>
  <si>
    <t>Column290</t>
  </si>
  <si>
    <t>Column291</t>
  </si>
  <si>
    <t>Column292</t>
  </si>
  <si>
    <t>Column293</t>
  </si>
  <si>
    <t>Column294</t>
  </si>
  <si>
    <t>Column295</t>
  </si>
  <si>
    <t>Column296</t>
  </si>
  <si>
    <t>Column297</t>
  </si>
  <si>
    <t>Column298</t>
  </si>
  <si>
    <t>Column299</t>
  </si>
  <si>
    <t>Column300</t>
  </si>
  <si>
    <t>Column301</t>
  </si>
  <si>
    <t>Column302</t>
  </si>
  <si>
    <t>Column303</t>
  </si>
  <si>
    <t>Column304</t>
  </si>
  <si>
    <t>Column305</t>
  </si>
  <si>
    <t>Column306</t>
  </si>
  <si>
    <t>Column307</t>
  </si>
  <si>
    <t>Column308</t>
  </si>
  <si>
    <t>Column309</t>
  </si>
  <si>
    <t>Column310</t>
  </si>
  <si>
    <t>Column311</t>
  </si>
  <si>
    <t>Column312</t>
  </si>
  <si>
    <t>Column313</t>
  </si>
  <si>
    <t>Column314</t>
  </si>
  <si>
    <t>Column315</t>
  </si>
  <si>
    <t>Column316</t>
  </si>
  <si>
    <t>Column317</t>
  </si>
  <si>
    <t>Column318</t>
  </si>
  <si>
    <t>Column319</t>
  </si>
  <si>
    <t>Column320</t>
  </si>
  <si>
    <t>Column321</t>
  </si>
  <si>
    <t>Column322</t>
  </si>
  <si>
    <t>Column323</t>
  </si>
  <si>
    <t>Column324</t>
  </si>
  <si>
    <t>Column325</t>
  </si>
  <si>
    <t>Column326</t>
  </si>
  <si>
    <t>Column327</t>
  </si>
  <si>
    <t>Column328</t>
  </si>
  <si>
    <t>Column329</t>
  </si>
  <si>
    <t>Column330</t>
  </si>
  <si>
    <t>Column331</t>
  </si>
  <si>
    <t>Column332</t>
  </si>
  <si>
    <t>Column333</t>
  </si>
  <si>
    <t>Column334</t>
  </si>
  <si>
    <t>Column335</t>
  </si>
  <si>
    <t>Column336</t>
  </si>
  <si>
    <t>Column337</t>
  </si>
  <si>
    <t>Column338</t>
  </si>
  <si>
    <t>Column339</t>
  </si>
  <si>
    <t>Column340</t>
  </si>
  <si>
    <t>Column341</t>
  </si>
  <si>
    <t>Column342</t>
  </si>
  <si>
    <t>Column343</t>
  </si>
  <si>
    <t>Column344</t>
  </si>
  <si>
    <t>Column345</t>
  </si>
  <si>
    <t>Column346</t>
  </si>
  <si>
    <t>Column347</t>
  </si>
  <si>
    <t>Column348</t>
  </si>
  <si>
    <t>Column349</t>
  </si>
  <si>
    <t>Column350</t>
  </si>
  <si>
    <t>Column351</t>
  </si>
  <si>
    <t>Column352</t>
  </si>
  <si>
    <t>Column353</t>
  </si>
  <si>
    <t>Column354</t>
  </si>
  <si>
    <t>Column355</t>
  </si>
  <si>
    <t>Column356</t>
  </si>
  <si>
    <t>Column357</t>
  </si>
  <si>
    <t>Column358</t>
  </si>
  <si>
    <t>Column359</t>
  </si>
  <si>
    <t>Column360</t>
  </si>
  <si>
    <t>Column361</t>
  </si>
  <si>
    <t>Column362</t>
  </si>
  <si>
    <t>Column363</t>
  </si>
  <si>
    <t>Column364</t>
  </si>
  <si>
    <t>Column365</t>
  </si>
  <si>
    <t>Column366</t>
  </si>
  <si>
    <t>Column367</t>
  </si>
  <si>
    <t>Column368</t>
  </si>
  <si>
    <t>Column369</t>
  </si>
  <si>
    <t>Column370</t>
  </si>
  <si>
    <t>Column371</t>
  </si>
  <si>
    <t>Column372</t>
  </si>
  <si>
    <t>Column373</t>
  </si>
  <si>
    <t>Column374</t>
  </si>
  <si>
    <t>Column375</t>
  </si>
  <si>
    <t>Column376</t>
  </si>
  <si>
    <t>Column377</t>
  </si>
  <si>
    <t>Column378</t>
  </si>
  <si>
    <t>Column379</t>
  </si>
  <si>
    <t>Column380</t>
  </si>
  <si>
    <t>Column381</t>
  </si>
  <si>
    <t>Column382</t>
  </si>
  <si>
    <t>Column383</t>
  </si>
  <si>
    <t>Column384</t>
  </si>
  <si>
    <t>Column385</t>
  </si>
  <si>
    <t>Column386</t>
  </si>
  <si>
    <t>Column387</t>
  </si>
  <si>
    <t>Column388</t>
  </si>
  <si>
    <t>Column389</t>
  </si>
  <si>
    <t>Column390</t>
  </si>
  <si>
    <t>Column391</t>
  </si>
  <si>
    <t>Column392</t>
  </si>
  <si>
    <t>Column393</t>
  </si>
  <si>
    <t>Column394</t>
  </si>
  <si>
    <t>Column395</t>
  </si>
  <si>
    <t>Column396</t>
  </si>
  <si>
    <t>Column397</t>
  </si>
  <si>
    <t>Column398</t>
  </si>
  <si>
    <t>Column399</t>
  </si>
  <si>
    <t>Column400</t>
  </si>
  <si>
    <t>Column401</t>
  </si>
  <si>
    <t>Column402</t>
  </si>
  <si>
    <t>Column403</t>
  </si>
  <si>
    <t>Column404</t>
  </si>
  <si>
    <t>Column405</t>
  </si>
  <si>
    <t>Column406</t>
  </si>
  <si>
    <t>Column407</t>
  </si>
  <si>
    <t>Column408</t>
  </si>
  <si>
    <t>Column409</t>
  </si>
  <si>
    <t>Column410</t>
  </si>
  <si>
    <t>Column411</t>
  </si>
  <si>
    <t>Column412</t>
  </si>
  <si>
    <t>Column413</t>
  </si>
  <si>
    <t>Column414</t>
  </si>
  <si>
    <t>Column415</t>
  </si>
  <si>
    <t>Column416</t>
  </si>
  <si>
    <t>Column417</t>
  </si>
  <si>
    <t>Column418</t>
  </si>
  <si>
    <t>Column419</t>
  </si>
  <si>
    <t>Column420</t>
  </si>
  <si>
    <t>Column421</t>
  </si>
  <si>
    <t>Column422</t>
  </si>
  <si>
    <t>Column423</t>
  </si>
  <si>
    <t>Column424</t>
  </si>
  <si>
    <t>Column425</t>
  </si>
  <si>
    <t>Column426</t>
  </si>
  <si>
    <t>Column427</t>
  </si>
  <si>
    <t>Column428</t>
  </si>
  <si>
    <t>Column429</t>
  </si>
  <si>
    <t>Column430</t>
  </si>
  <si>
    <t>Column431</t>
  </si>
  <si>
    <t>Column432</t>
  </si>
  <si>
    <t>Column433</t>
  </si>
  <si>
    <t>Column434</t>
  </si>
  <si>
    <t>Column435</t>
  </si>
  <si>
    <t>Column436</t>
  </si>
  <si>
    <t>Column437</t>
  </si>
  <si>
    <t>Column438</t>
  </si>
  <si>
    <t>Column439</t>
  </si>
  <si>
    <t>Column440</t>
  </si>
  <si>
    <t>Column441</t>
  </si>
  <si>
    <t>Column442</t>
  </si>
  <si>
    <t>Column443</t>
  </si>
  <si>
    <t>Column444</t>
  </si>
  <si>
    <t>Column445</t>
  </si>
  <si>
    <t>Column446</t>
  </si>
  <si>
    <t>Column447</t>
  </si>
  <si>
    <t>Column448</t>
  </si>
  <si>
    <t>Column449</t>
  </si>
  <si>
    <t>Column450</t>
  </si>
  <si>
    <t>Column451</t>
  </si>
  <si>
    <t>Column452</t>
  </si>
  <si>
    <t>Column453</t>
  </si>
  <si>
    <t>Column454</t>
  </si>
  <si>
    <t>Column455</t>
  </si>
  <si>
    <t>Column456</t>
  </si>
  <si>
    <t>Column457</t>
  </si>
  <si>
    <t>Column458</t>
  </si>
  <si>
    <t>Column459</t>
  </si>
  <si>
    <t>Column460</t>
  </si>
  <si>
    <t>Column461</t>
  </si>
  <si>
    <t>Column462</t>
  </si>
  <si>
    <t>Column463</t>
  </si>
  <si>
    <t>Column464</t>
  </si>
  <si>
    <t>Column465</t>
  </si>
  <si>
    <t>Column466</t>
  </si>
  <si>
    <t>Column467</t>
  </si>
  <si>
    <t>Column468</t>
  </si>
  <si>
    <t>Column469</t>
  </si>
  <si>
    <t>Column470</t>
  </si>
  <si>
    <t>Column471</t>
  </si>
  <si>
    <t>Column472</t>
  </si>
  <si>
    <t>Column473</t>
  </si>
  <si>
    <t>Column474</t>
  </si>
  <si>
    <t>Column475</t>
  </si>
  <si>
    <t>Column476</t>
  </si>
  <si>
    <t>Column477</t>
  </si>
  <si>
    <t>Column478</t>
  </si>
  <si>
    <t>Column479</t>
  </si>
  <si>
    <t>Column480</t>
  </si>
  <si>
    <t>Column481</t>
  </si>
  <si>
    <t>Column482</t>
  </si>
  <si>
    <t>Column483</t>
  </si>
  <si>
    <t>Column484</t>
  </si>
  <si>
    <t>Column485</t>
  </si>
  <si>
    <t>Column486</t>
  </si>
  <si>
    <t>Column487</t>
  </si>
  <si>
    <t>Column488</t>
  </si>
  <si>
    <t>Column489</t>
  </si>
  <si>
    <t>Column490</t>
  </si>
  <si>
    <t>Column491</t>
  </si>
  <si>
    <t>Column492</t>
  </si>
  <si>
    <t>Column493</t>
  </si>
  <si>
    <t>Column494</t>
  </si>
  <si>
    <t>Column495</t>
  </si>
  <si>
    <t>Column496</t>
  </si>
  <si>
    <t>Column497</t>
  </si>
  <si>
    <t>Column498</t>
  </si>
  <si>
    <t>Column499</t>
  </si>
  <si>
    <t>Column500</t>
  </si>
  <si>
    <t>Column501</t>
  </si>
  <si>
    <t>Column502</t>
  </si>
  <si>
    <t>Column503</t>
  </si>
  <si>
    <t>Column504</t>
  </si>
  <si>
    <t>Column505</t>
  </si>
  <si>
    <t>Column506</t>
  </si>
  <si>
    <t>Column507</t>
  </si>
  <si>
    <t>Column508</t>
  </si>
  <si>
    <t>Column509</t>
  </si>
  <si>
    <t>Column510</t>
  </si>
  <si>
    <t>Column511</t>
  </si>
  <si>
    <t>Column512</t>
  </si>
  <si>
    <t>Column513</t>
  </si>
  <si>
    <t>Column514</t>
  </si>
  <si>
    <t>Column515</t>
  </si>
  <si>
    <t>Column516</t>
  </si>
  <si>
    <t>Column517</t>
  </si>
  <si>
    <t>Column518</t>
  </si>
  <si>
    <t>Column519</t>
  </si>
  <si>
    <t>Column520</t>
  </si>
  <si>
    <t>Column521</t>
  </si>
  <si>
    <t>Column522</t>
  </si>
  <si>
    <t>Column523</t>
  </si>
  <si>
    <t>Column524</t>
  </si>
  <si>
    <t>Column525</t>
  </si>
  <si>
    <t>Column526</t>
  </si>
  <si>
    <t>Column527</t>
  </si>
  <si>
    <t>Column528</t>
  </si>
  <si>
    <t>Column529</t>
  </si>
  <si>
    <t>Column530</t>
  </si>
  <si>
    <t>Column531</t>
  </si>
  <si>
    <t>Column532</t>
  </si>
  <si>
    <t>Column533</t>
  </si>
  <si>
    <t>Column534</t>
  </si>
  <si>
    <t>Column535</t>
  </si>
  <si>
    <t>Column536</t>
  </si>
  <si>
    <t>Column537</t>
  </si>
  <si>
    <t>Column538</t>
  </si>
  <si>
    <t>Column539</t>
  </si>
  <si>
    <t>Column540</t>
  </si>
  <si>
    <t>Column541</t>
  </si>
  <si>
    <t>Column542</t>
  </si>
  <si>
    <t>Column543</t>
  </si>
  <si>
    <t>Column544</t>
  </si>
  <si>
    <t>Column545</t>
  </si>
  <si>
    <t>Column546</t>
  </si>
  <si>
    <t>Column547</t>
  </si>
  <si>
    <t>Column548</t>
  </si>
  <si>
    <t>Column549</t>
  </si>
  <si>
    <t>Column550</t>
  </si>
  <si>
    <t>Column551</t>
  </si>
  <si>
    <t>Column552</t>
  </si>
  <si>
    <t>Column553</t>
  </si>
  <si>
    <t>Column554</t>
  </si>
  <si>
    <t>Column555</t>
  </si>
  <si>
    <t>Column556</t>
  </si>
  <si>
    <t>Column557</t>
  </si>
  <si>
    <t>Column558</t>
  </si>
  <si>
    <t>Column559</t>
  </si>
  <si>
    <t>Column560</t>
  </si>
  <si>
    <t>Column561</t>
  </si>
  <si>
    <t>Column562</t>
  </si>
  <si>
    <t>Column563</t>
  </si>
  <si>
    <t>Column564</t>
  </si>
  <si>
    <t>Column565</t>
  </si>
  <si>
    <t>Column566</t>
  </si>
  <si>
    <t>Column567</t>
  </si>
  <si>
    <t>Column568</t>
  </si>
  <si>
    <t>Column569</t>
  </si>
  <si>
    <t>Column570</t>
  </si>
  <si>
    <t>Column571</t>
  </si>
  <si>
    <t>Column572</t>
  </si>
  <si>
    <t>Column573</t>
  </si>
  <si>
    <t>Column574</t>
  </si>
  <si>
    <t>Column575</t>
  </si>
  <si>
    <t>Column576</t>
  </si>
  <si>
    <t>Column577</t>
  </si>
  <si>
    <t>Column578</t>
  </si>
  <si>
    <t>Column579</t>
  </si>
  <si>
    <t>Column580</t>
  </si>
  <si>
    <t>Column581</t>
  </si>
  <si>
    <t>Column582</t>
  </si>
  <si>
    <t>Column583</t>
  </si>
  <si>
    <t>Column584</t>
  </si>
  <si>
    <t>Column585</t>
  </si>
  <si>
    <t>Column586</t>
  </si>
  <si>
    <t>Column587</t>
  </si>
  <si>
    <t>Column588</t>
  </si>
  <si>
    <t>Column589</t>
  </si>
  <si>
    <t>Column590</t>
  </si>
  <si>
    <t>Column591</t>
  </si>
  <si>
    <t>Column592</t>
  </si>
  <si>
    <t>Column593</t>
  </si>
  <si>
    <t>Column594</t>
  </si>
  <si>
    <t>Column595</t>
  </si>
  <si>
    <t>Column596</t>
  </si>
  <si>
    <t>Column597</t>
  </si>
  <si>
    <t>Column598</t>
  </si>
  <si>
    <t>Column599</t>
  </si>
  <si>
    <t>Column600</t>
  </si>
  <si>
    <t>Column601</t>
  </si>
  <si>
    <t>Column602</t>
  </si>
  <si>
    <t>Column603</t>
  </si>
  <si>
    <t>Column604</t>
  </si>
  <si>
    <t>Column605</t>
  </si>
  <si>
    <t>Column606</t>
  </si>
  <si>
    <t>Column607</t>
  </si>
  <si>
    <t>Column608</t>
  </si>
  <si>
    <t>Column609</t>
  </si>
  <si>
    <t>Column610</t>
  </si>
  <si>
    <t>Column611</t>
  </si>
  <si>
    <t>Column612</t>
  </si>
  <si>
    <t>Column613</t>
  </si>
  <si>
    <t>Column614</t>
  </si>
  <si>
    <t>Column615</t>
  </si>
  <si>
    <t>Column616</t>
  </si>
  <si>
    <t>Column617</t>
  </si>
  <si>
    <t>Column618</t>
  </si>
  <si>
    <t>Column619</t>
  </si>
  <si>
    <t>Column620</t>
  </si>
  <si>
    <t>Column621</t>
  </si>
  <si>
    <t>Column622</t>
  </si>
  <si>
    <t>Column623</t>
  </si>
  <si>
    <t>Column624</t>
  </si>
  <si>
    <t>Column625</t>
  </si>
  <si>
    <t>Column626</t>
  </si>
  <si>
    <t>Column627</t>
  </si>
  <si>
    <t>Column628</t>
  </si>
  <si>
    <t>Column629</t>
  </si>
  <si>
    <t>Column630</t>
  </si>
  <si>
    <t>Column631</t>
  </si>
  <si>
    <t>Column632</t>
  </si>
  <si>
    <t>Column633</t>
  </si>
  <si>
    <t>Column634</t>
  </si>
  <si>
    <t>Column635</t>
  </si>
  <si>
    <t>Column636</t>
  </si>
  <si>
    <t>Column637</t>
  </si>
  <si>
    <t>Column638</t>
  </si>
  <si>
    <t>Column639</t>
  </si>
  <si>
    <t>Column640</t>
  </si>
  <si>
    <t>Column641</t>
  </si>
  <si>
    <t>Column642</t>
  </si>
  <si>
    <t>Column643</t>
  </si>
  <si>
    <t>Column644</t>
  </si>
  <si>
    <t>Column645</t>
  </si>
  <si>
    <t>Column646</t>
  </si>
  <si>
    <t>Column647</t>
  </si>
  <si>
    <t>Column648</t>
  </si>
  <si>
    <t>Column649</t>
  </si>
  <si>
    <t>Column650</t>
  </si>
  <si>
    <t>Column651</t>
  </si>
  <si>
    <t>Column652</t>
  </si>
  <si>
    <t>Column653</t>
  </si>
  <si>
    <t>Column654</t>
  </si>
  <si>
    <t>Column655</t>
  </si>
  <si>
    <t>Column656</t>
  </si>
  <si>
    <t>Column657</t>
  </si>
  <si>
    <t>Column658</t>
  </si>
  <si>
    <t>Column659</t>
  </si>
  <si>
    <t>Column660</t>
  </si>
  <si>
    <t>Column661</t>
  </si>
  <si>
    <t>Column662</t>
  </si>
  <si>
    <t>Column663</t>
  </si>
  <si>
    <t>Column664</t>
  </si>
  <si>
    <t>Column665</t>
  </si>
  <si>
    <t>Column666</t>
  </si>
  <si>
    <t>Column667</t>
  </si>
  <si>
    <t>Column668</t>
  </si>
  <si>
    <t>Column669</t>
  </si>
  <si>
    <t>Column670</t>
  </si>
  <si>
    <t>Column671</t>
  </si>
  <si>
    <t>Column672</t>
  </si>
  <si>
    <t>Column673</t>
  </si>
  <si>
    <t>Column674</t>
  </si>
  <si>
    <t>Column675</t>
  </si>
  <si>
    <t>Column676</t>
  </si>
  <si>
    <t>Column677</t>
  </si>
  <si>
    <t>Column678</t>
  </si>
  <si>
    <t>Column679</t>
  </si>
  <si>
    <t>Column680</t>
  </si>
  <si>
    <t>Column681</t>
  </si>
  <si>
    <t>Column682</t>
  </si>
  <si>
    <t>Column683</t>
  </si>
  <si>
    <t>Column684</t>
  </si>
  <si>
    <t>Column685</t>
  </si>
  <si>
    <t>Column686</t>
  </si>
  <si>
    <t>Column687</t>
  </si>
  <si>
    <t>Column688</t>
  </si>
  <si>
    <t>Column689</t>
  </si>
  <si>
    <t>Column690</t>
  </si>
  <si>
    <t>Column691</t>
  </si>
  <si>
    <t>Column692</t>
  </si>
  <si>
    <t>Column693</t>
  </si>
  <si>
    <t>Column694</t>
  </si>
  <si>
    <t>Column695</t>
  </si>
  <si>
    <t>Column696</t>
  </si>
  <si>
    <t>Column697</t>
  </si>
  <si>
    <t>Column698</t>
  </si>
  <si>
    <t>Column699</t>
  </si>
  <si>
    <t>Column700</t>
  </si>
  <si>
    <t>Column701</t>
  </si>
  <si>
    <t>Column702</t>
  </si>
  <si>
    <t>Column703</t>
  </si>
  <si>
    <t>Column704</t>
  </si>
  <si>
    <t>Column705</t>
  </si>
  <si>
    <t>Column706</t>
  </si>
  <si>
    <t>Column707</t>
  </si>
  <si>
    <t>Column708</t>
  </si>
  <si>
    <t>Column709</t>
  </si>
  <si>
    <t>Column710</t>
  </si>
  <si>
    <t>Column711</t>
  </si>
  <si>
    <t>Column712</t>
  </si>
  <si>
    <t>Column713</t>
  </si>
  <si>
    <t>Column714</t>
  </si>
  <si>
    <t>Column715</t>
  </si>
  <si>
    <t>Column716</t>
  </si>
  <si>
    <t>Column717</t>
  </si>
  <si>
    <t>Column718</t>
  </si>
  <si>
    <t>Column719</t>
  </si>
  <si>
    <t>Column720</t>
  </si>
  <si>
    <t>Column721</t>
  </si>
  <si>
    <t>Column722</t>
  </si>
  <si>
    <t>Column723</t>
  </si>
  <si>
    <t>Column724</t>
  </si>
  <si>
    <t>Column725</t>
  </si>
  <si>
    <t>Column726</t>
  </si>
  <si>
    <t>Column727</t>
  </si>
  <si>
    <t>Column728</t>
  </si>
  <si>
    <t>Column729</t>
  </si>
  <si>
    <t>Column730</t>
  </si>
  <si>
    <t>Column731</t>
  </si>
  <si>
    <t>Column732</t>
  </si>
  <si>
    <t>Column733</t>
  </si>
  <si>
    <t>Column734</t>
  </si>
  <si>
    <t>Column735</t>
  </si>
  <si>
    <t>Column736</t>
  </si>
  <si>
    <t>Column737</t>
  </si>
  <si>
    <t>Column738</t>
  </si>
  <si>
    <t>Column739</t>
  </si>
  <si>
    <t>Column740</t>
  </si>
  <si>
    <t>Column741</t>
  </si>
  <si>
    <t>Column742</t>
  </si>
  <si>
    <t>Column743</t>
  </si>
  <si>
    <t>Column744</t>
  </si>
  <si>
    <t>Column745</t>
  </si>
  <si>
    <t>Column746</t>
  </si>
  <si>
    <t>Column747</t>
  </si>
  <si>
    <t>Column748</t>
  </si>
  <si>
    <t>Column749</t>
  </si>
  <si>
    <t>Column750</t>
  </si>
  <si>
    <t>Column751</t>
  </si>
  <si>
    <t>Column752</t>
  </si>
  <si>
    <t>Column753</t>
  </si>
  <si>
    <t>Column754</t>
  </si>
  <si>
    <t>Column755</t>
  </si>
  <si>
    <t>Column756</t>
  </si>
  <si>
    <t>Column757</t>
  </si>
  <si>
    <t>Column758</t>
  </si>
  <si>
    <t>Column759</t>
  </si>
  <si>
    <t>Column760</t>
  </si>
  <si>
    <t>Column761</t>
  </si>
  <si>
    <t>Column762</t>
  </si>
  <si>
    <t>Column763</t>
  </si>
  <si>
    <t>Column764</t>
  </si>
  <si>
    <t>Column765</t>
  </si>
  <si>
    <t>Column766</t>
  </si>
  <si>
    <t>Column767</t>
  </si>
  <si>
    <t>Column768</t>
  </si>
  <si>
    <t>Column769</t>
  </si>
  <si>
    <t>Column770</t>
  </si>
  <si>
    <t>Column771</t>
  </si>
  <si>
    <t>Column772</t>
  </si>
  <si>
    <t>Column773</t>
  </si>
  <si>
    <t>Column774</t>
  </si>
  <si>
    <t>Column775</t>
  </si>
  <si>
    <t>Column776</t>
  </si>
  <si>
    <t>Column777</t>
  </si>
  <si>
    <t>Column778</t>
  </si>
  <si>
    <t>Column779</t>
  </si>
  <si>
    <t>Column780</t>
  </si>
  <si>
    <t>Column781</t>
  </si>
  <si>
    <t>Column782</t>
  </si>
  <si>
    <t>Column783</t>
  </si>
  <si>
    <t>Column784</t>
  </si>
  <si>
    <t>Column785</t>
  </si>
  <si>
    <t>Column786</t>
  </si>
  <si>
    <t>Column787</t>
  </si>
  <si>
    <t>Column788</t>
  </si>
  <si>
    <t>Column789</t>
  </si>
  <si>
    <t>Column790</t>
  </si>
  <si>
    <t>Column791</t>
  </si>
  <si>
    <t>Column792</t>
  </si>
  <si>
    <t>Column793</t>
  </si>
  <si>
    <t>Column794</t>
  </si>
  <si>
    <t>Column795</t>
  </si>
  <si>
    <t>Column796</t>
  </si>
  <si>
    <t>Column797</t>
  </si>
  <si>
    <t>Column798</t>
  </si>
  <si>
    <t>Column799</t>
  </si>
  <si>
    <t>Column800</t>
  </si>
  <si>
    <t>Column801</t>
  </si>
  <si>
    <t>Column802</t>
  </si>
  <si>
    <t>Column803</t>
  </si>
  <si>
    <t>Column804</t>
  </si>
  <si>
    <t>Column805</t>
  </si>
  <si>
    <t>Column806</t>
  </si>
  <si>
    <t>Column807</t>
  </si>
  <si>
    <t>Column808</t>
  </si>
  <si>
    <t>Column809</t>
  </si>
  <si>
    <t>Column810</t>
  </si>
  <si>
    <t>Column811</t>
  </si>
  <si>
    <t>Column812</t>
  </si>
  <si>
    <t>Column813</t>
  </si>
  <si>
    <t>Column814</t>
  </si>
  <si>
    <t>Column815</t>
  </si>
  <si>
    <t>Column816</t>
  </si>
  <si>
    <t>Column817</t>
  </si>
  <si>
    <t>Column818</t>
  </si>
  <si>
    <t>Column819</t>
  </si>
  <si>
    <t>Column820</t>
  </si>
  <si>
    <t>Column821</t>
  </si>
  <si>
    <t>Column822</t>
  </si>
  <si>
    <t>Column823</t>
  </si>
  <si>
    <t>Column824</t>
  </si>
  <si>
    <t>Column825</t>
  </si>
  <si>
    <t>Column826</t>
  </si>
  <si>
    <t>Column827</t>
  </si>
  <si>
    <t>Column828</t>
  </si>
  <si>
    <t>Column829</t>
  </si>
  <si>
    <t>Column830</t>
  </si>
  <si>
    <t>Column831</t>
  </si>
  <si>
    <t>Column832</t>
  </si>
  <si>
    <t>Column833</t>
  </si>
  <si>
    <t>Column834</t>
  </si>
  <si>
    <t>Column835</t>
  </si>
  <si>
    <t>Column836</t>
  </si>
  <si>
    <t>Column837</t>
  </si>
  <si>
    <t>Column838</t>
  </si>
  <si>
    <t>Column839</t>
  </si>
  <si>
    <t>Column840</t>
  </si>
  <si>
    <t>Column841</t>
  </si>
  <si>
    <t>Column842</t>
  </si>
  <si>
    <t>Column843</t>
  </si>
  <si>
    <t>Column844</t>
  </si>
  <si>
    <t>Column845</t>
  </si>
  <si>
    <t>Column846</t>
  </si>
  <si>
    <t>Column847</t>
  </si>
  <si>
    <t>Column848</t>
  </si>
  <si>
    <t>Column849</t>
  </si>
  <si>
    <t>Column850</t>
  </si>
  <si>
    <t>Column851</t>
  </si>
  <si>
    <t>Column852</t>
  </si>
  <si>
    <t>Column853</t>
  </si>
  <si>
    <t>Column854</t>
  </si>
  <si>
    <t>Column855</t>
  </si>
  <si>
    <t>Column856</t>
  </si>
  <si>
    <t>Column857</t>
  </si>
  <si>
    <t>Column858</t>
  </si>
  <si>
    <t>Column859</t>
  </si>
  <si>
    <t>Column860</t>
  </si>
  <si>
    <t>Column861</t>
  </si>
  <si>
    <t>Column862</t>
  </si>
  <si>
    <t>Column863</t>
  </si>
  <si>
    <t>Column864</t>
  </si>
  <si>
    <t>Column865</t>
  </si>
  <si>
    <t>Column866</t>
  </si>
  <si>
    <t>Column867</t>
  </si>
  <si>
    <t>Column868</t>
  </si>
  <si>
    <t>Column869</t>
  </si>
  <si>
    <t>Column870</t>
  </si>
  <si>
    <t>Column871</t>
  </si>
  <si>
    <t>Column872</t>
  </si>
  <si>
    <t>Column873</t>
  </si>
  <si>
    <t>Column874</t>
  </si>
  <si>
    <t>Column875</t>
  </si>
  <si>
    <t>Column876</t>
  </si>
  <si>
    <t>Column877</t>
  </si>
  <si>
    <t>Column878</t>
  </si>
  <si>
    <t>Column879</t>
  </si>
  <si>
    <t>Column880</t>
  </si>
  <si>
    <t>Column881</t>
  </si>
  <si>
    <t>Column882</t>
  </si>
  <si>
    <t>Column883</t>
  </si>
  <si>
    <t>Column884</t>
  </si>
  <si>
    <t>Column885</t>
  </si>
  <si>
    <t>Column886</t>
  </si>
  <si>
    <t>Column887</t>
  </si>
  <si>
    <t>Column888</t>
  </si>
  <si>
    <t>Column889</t>
  </si>
  <si>
    <t>Column890</t>
  </si>
  <si>
    <t>Column891</t>
  </si>
  <si>
    <t>Column892</t>
  </si>
  <si>
    <t>Column893</t>
  </si>
  <si>
    <t>Column894</t>
  </si>
  <si>
    <t>Column895</t>
  </si>
  <si>
    <t>Column896</t>
  </si>
  <si>
    <t>Column897</t>
  </si>
  <si>
    <t>Column898</t>
  </si>
  <si>
    <t>Column899</t>
  </si>
  <si>
    <t>Column900</t>
  </si>
  <si>
    <t>Column901</t>
  </si>
  <si>
    <t>Column902</t>
  </si>
  <si>
    <t>Column903</t>
  </si>
  <si>
    <t>Column904</t>
  </si>
  <si>
    <t>Column905</t>
  </si>
  <si>
    <t>Column906</t>
  </si>
  <si>
    <t>Column907</t>
  </si>
  <si>
    <t>Column908</t>
  </si>
  <si>
    <t>Column909</t>
  </si>
  <si>
    <t>Column910</t>
  </si>
  <si>
    <t>Column911</t>
  </si>
  <si>
    <t>Column912</t>
  </si>
  <si>
    <t>Column913</t>
  </si>
  <si>
    <t>Column914</t>
  </si>
  <si>
    <t>Column915</t>
  </si>
  <si>
    <t>Column916</t>
  </si>
  <si>
    <t>Column917</t>
  </si>
  <si>
    <t>Column918</t>
  </si>
  <si>
    <t>Column919</t>
  </si>
  <si>
    <t>Column920</t>
  </si>
  <si>
    <t>Column921</t>
  </si>
  <si>
    <t>Column922</t>
  </si>
  <si>
    <t>Column923</t>
  </si>
  <si>
    <t>Column924</t>
  </si>
  <si>
    <t>Column925</t>
  </si>
  <si>
    <t>Column926</t>
  </si>
  <si>
    <t>Column927</t>
  </si>
  <si>
    <t>Column928</t>
  </si>
  <si>
    <t>Column929</t>
  </si>
  <si>
    <t>Column930</t>
  </si>
  <si>
    <t>Column931</t>
  </si>
  <si>
    <t>Column932</t>
  </si>
  <si>
    <t>Column933</t>
  </si>
  <si>
    <t>Column934</t>
  </si>
  <si>
    <t>Column935</t>
  </si>
  <si>
    <t>Column936</t>
  </si>
  <si>
    <t>Column937</t>
  </si>
  <si>
    <t>Column938</t>
  </si>
  <si>
    <t>Column939</t>
  </si>
  <si>
    <t>Column940</t>
  </si>
  <si>
    <t>Column941</t>
  </si>
  <si>
    <t>Column942</t>
  </si>
  <si>
    <t>Column943</t>
  </si>
  <si>
    <t>Column944</t>
  </si>
  <si>
    <t>Column945</t>
  </si>
  <si>
    <t>Column946</t>
  </si>
  <si>
    <t>Column947</t>
  </si>
  <si>
    <t>Column948</t>
  </si>
  <si>
    <t>Column949</t>
  </si>
  <si>
    <t>Column950</t>
  </si>
  <si>
    <t>Column951</t>
  </si>
  <si>
    <t>Column952</t>
  </si>
  <si>
    <t>Column953</t>
  </si>
  <si>
    <t>Column954</t>
  </si>
  <si>
    <t>Column955</t>
  </si>
  <si>
    <t>Column956</t>
  </si>
  <si>
    <t>Column957</t>
  </si>
  <si>
    <t>Column958</t>
  </si>
  <si>
    <t>Column959</t>
  </si>
  <si>
    <t>Column960</t>
  </si>
  <si>
    <t>Column961</t>
  </si>
  <si>
    <t>Column962</t>
  </si>
  <si>
    <t>Column963</t>
  </si>
  <si>
    <t>Column964</t>
  </si>
  <si>
    <t>Column965</t>
  </si>
  <si>
    <t>Column966</t>
  </si>
  <si>
    <t>Column967</t>
  </si>
  <si>
    <t>Column968</t>
  </si>
  <si>
    <t>Column969</t>
  </si>
  <si>
    <t>Column970</t>
  </si>
  <si>
    <t>Column971</t>
  </si>
  <si>
    <t>Column972</t>
  </si>
  <si>
    <t>Column973</t>
  </si>
  <si>
    <t>Column974</t>
  </si>
  <si>
    <t>Column975</t>
  </si>
  <si>
    <t>Column976</t>
  </si>
  <si>
    <t>Column977</t>
  </si>
  <si>
    <t>Column978</t>
  </si>
  <si>
    <t>Column979</t>
  </si>
  <si>
    <t>Column980</t>
  </si>
  <si>
    <t>Column981</t>
  </si>
  <si>
    <t>Column982</t>
  </si>
  <si>
    <t>Column983</t>
  </si>
  <si>
    <t>Column984</t>
  </si>
  <si>
    <t>Column985</t>
  </si>
  <si>
    <t>Column986</t>
  </si>
  <si>
    <t>Column987</t>
  </si>
  <si>
    <t>Column988</t>
  </si>
  <si>
    <t>Column989</t>
  </si>
  <si>
    <t>Column990</t>
  </si>
  <si>
    <t>Column991</t>
  </si>
  <si>
    <t>Column992</t>
  </si>
  <si>
    <t>Column993</t>
  </si>
  <si>
    <t>Column994</t>
  </si>
  <si>
    <t>Column995</t>
  </si>
  <si>
    <t>Column996</t>
  </si>
  <si>
    <t>Column997</t>
  </si>
  <si>
    <t>Column998</t>
  </si>
  <si>
    <t>Column999</t>
  </si>
  <si>
    <t>Column1000</t>
  </si>
  <si>
    <t>Column1001</t>
  </si>
  <si>
    <t>Column1002</t>
  </si>
  <si>
    <t>Column1003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</si>
</sst>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-425]General"/>
    <numFmt numFmtId="166" formatCode="#,##0.00&quot; &quot;[$€-425];[Red]&quot;-&quot;#,##0.00&quot; &quot;[$€-425]"/>
  </numFmts>
  <fonts count="14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sz val="16"/>
      <color rgb="FF000000"/>
      <name val="Liberation Sans"/>
    </font>
    <font>
      <b/>
      <i/>
      <u/>
      <sz val="11"/>
      <color theme="1"/>
      <name val="Arial"/>
      <family val="2"/>
    </font>
    <font>
      <b/>
      <i/>
      <u/>
      <sz val="11"/>
      <color rgb="FF000000"/>
      <name val="Liberation Sans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Liberation Sans"/>
    </font>
    <font>
      <b/>
      <sz val="11"/>
      <color rgb="FF000000"/>
      <name val="Calibri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</font>
    <font>
      <sz val="10"/>
      <color rgb="FF000000"/>
      <name val="Arial"/>
      <family val="2"/>
    </font>
    <font>
      <b/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0">
    <xf numFmtId="0" fontId="0" fillId="0" borderId="0"/>
    <xf numFmtId="165" fontId="3" fillId="0" borderId="0">
      <alignment horizontal="center"/>
    </xf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165" fontId="3" fillId="0" borderId="0">
      <alignment horizontal="center" textRotation="90"/>
    </xf>
    <xf numFmtId="0" fontId="4" fillId="0" borderId="0"/>
    <xf numFmtId="165" fontId="5" fillId="0" borderId="0"/>
    <xf numFmtId="166" fontId="4" fillId="0" borderId="0"/>
    <xf numFmtId="166" fontId="5" fillId="0" borderId="0"/>
  </cellStyleXfs>
  <cellXfs count="31">
    <xf numFmtId="0" fontId="0" fillId="0" borderId="0" xfId="0"/>
    <xf numFmtId="164" fontId="6" fillId="0" borderId="1" xfId="2" applyNumberFormat="1" applyFont="1" applyBorder="1" applyAlignment="1">
      <alignment horizontal="center"/>
    </xf>
    <xf numFmtId="165" fontId="6" fillId="0" borderId="1" xfId="2" applyFont="1" applyBorder="1" applyAlignment="1"/>
    <xf numFmtId="165" fontId="7" fillId="0" borderId="1" xfId="2" applyFont="1" applyBorder="1" applyAlignment="1"/>
    <xf numFmtId="165" fontId="6" fillId="0" borderId="1" xfId="2" applyFont="1" applyBorder="1"/>
    <xf numFmtId="165" fontId="7" fillId="0" borderId="1" xfId="2" applyFont="1" applyBorder="1"/>
    <xf numFmtId="164" fontId="6" fillId="0" borderId="2" xfId="2" applyNumberFormat="1" applyFont="1" applyBorder="1" applyAlignment="1">
      <alignment horizontal="center"/>
    </xf>
    <xf numFmtId="165" fontId="6" fillId="0" borderId="0" xfId="2" applyFont="1" applyBorder="1" applyAlignment="1"/>
    <xf numFmtId="165" fontId="7" fillId="0" borderId="0" xfId="2" applyFont="1" applyBorder="1" applyAlignment="1"/>
    <xf numFmtId="165" fontId="7" fillId="0" borderId="0" xfId="2" applyFont="1" applyBorder="1"/>
    <xf numFmtId="164" fontId="6" fillId="0" borderId="0" xfId="2" applyNumberFormat="1" applyFont="1" applyAlignment="1">
      <alignment horizontal="center"/>
    </xf>
    <xf numFmtId="165" fontId="6" fillId="0" borderId="0" xfId="2" applyFont="1"/>
    <xf numFmtId="165" fontId="6" fillId="0" borderId="0" xfId="2" applyFont="1" applyBorder="1"/>
    <xf numFmtId="165" fontId="1" fillId="0" borderId="0" xfId="2"/>
    <xf numFmtId="165" fontId="6" fillId="0" borderId="0" xfId="2" applyFont="1" applyAlignment="1">
      <alignment horizontal="center"/>
    </xf>
    <xf numFmtId="164" fontId="6" fillId="0" borderId="0" xfId="2" applyNumberFormat="1" applyFont="1" applyBorder="1" applyAlignment="1">
      <alignment horizontal="center"/>
    </xf>
    <xf numFmtId="165" fontId="9" fillId="0" borderId="3" xfId="2" applyFont="1" applyBorder="1"/>
    <xf numFmtId="165" fontId="9" fillId="0" borderId="4" xfId="2" applyFont="1" applyBorder="1"/>
    <xf numFmtId="165" fontId="10" fillId="0" borderId="5" xfId="2" applyFont="1" applyBorder="1"/>
    <xf numFmtId="165" fontId="1" fillId="0" borderId="5" xfId="2" applyBorder="1"/>
    <xf numFmtId="165" fontId="1" fillId="0" borderId="5" xfId="2" applyFont="1" applyBorder="1"/>
    <xf numFmtId="165" fontId="10" fillId="0" borderId="3" xfId="2" applyFont="1" applyBorder="1"/>
    <xf numFmtId="165" fontId="1" fillId="0" borderId="3" xfId="2" applyBorder="1"/>
    <xf numFmtId="165" fontId="1" fillId="0" borderId="3" xfId="2" applyFont="1" applyBorder="1"/>
    <xf numFmtId="165" fontId="11" fillId="0" borderId="3" xfId="2" applyFont="1" applyBorder="1"/>
    <xf numFmtId="165" fontId="12" fillId="0" borderId="3" xfId="2" applyFont="1" applyBorder="1"/>
    <xf numFmtId="165" fontId="13" fillId="0" borderId="3" xfId="2" applyFont="1" applyBorder="1"/>
    <xf numFmtId="165" fontId="11" fillId="0" borderId="4" xfId="2" applyFont="1" applyBorder="1"/>
    <xf numFmtId="165" fontId="1" fillId="0" borderId="4" xfId="2" applyBorder="1"/>
    <xf numFmtId="165" fontId="1" fillId="0" borderId="4" xfId="2" applyFont="1" applyBorder="1"/>
    <xf numFmtId="165" fontId="12" fillId="0" borderId="3" xfId="2" applyFont="1" applyBorder="1" applyAlignment="1">
      <alignment wrapText="1"/>
    </xf>
  </cellXfs>
  <cellStyles count="10">
    <cellStyle name="Excel Built-in Explanatory Text" xfId="2"/>
    <cellStyle name="Heading" xfId="3"/>
    <cellStyle name="Heading 1" xfId="1" builtinId="16" customBuiltin="1"/>
    <cellStyle name="Heading1" xfId="4"/>
    <cellStyle name="Heading1 1" xfId="5"/>
    <cellStyle name="Normal" xfId="0" builtinId="0" customBuiltin="1"/>
    <cellStyle name="Result" xfId="6"/>
    <cellStyle name="Result 1" xfId="7"/>
    <cellStyle name="Result2" xfId="8"/>
    <cellStyle name="Result2 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__Anonymous_Sheet_DB__0" displayName="__Anonymous_Sheet_DB__0" ref="A1:AMJ1048576" totalsRowShown="0">
  <tableColumns count="1024">
    <tableColumn id="1" name="Hobune"/>
    <tableColumn id="2" name="km kokku"/>
    <tableColumn id="3" name="2017"/>
    <tableColumn id="4" name="2016"/>
    <tableColumn id="5" name="2015"/>
    <tableColumn id="6" name="2014"/>
    <tableColumn id="7" name="2013"/>
    <tableColumn id="8" name="2012"/>
    <tableColumn id="9" name="2011"/>
    <tableColumn id="10" name="2010"/>
    <tableColumn id="11" name="2009"/>
    <tableColumn id="12" name="2008"/>
    <tableColumn id="13" name="2007"/>
    <tableColumn id="14" name="2006"/>
    <tableColumn id="15" name="2005"/>
    <tableColumn id="16" name="2004"/>
    <tableColumn id="17" name="2003"/>
    <tableColumn id="18" name="2002"/>
    <tableColumn id="19" name="2001"/>
    <tableColumn id="20" name="2000"/>
    <tableColumn id="21" name="enne 2000"/>
    <tableColumn id="22" name="Column1"/>
    <tableColumn id="23" name="Column2"/>
    <tableColumn id="24" name="Column3"/>
    <tableColumn id="25" name="Column4"/>
    <tableColumn id="26" name="Column5"/>
    <tableColumn id="27" name="Column6"/>
    <tableColumn id="28" name="Column7"/>
    <tableColumn id="29" name="Column8"/>
    <tableColumn id="30" name="Column9"/>
    <tableColumn id="31" name="Column10"/>
    <tableColumn id="32" name="Column11"/>
    <tableColumn id="33" name="Column12"/>
    <tableColumn id="34" name="Column13"/>
    <tableColumn id="35" name="Column14"/>
    <tableColumn id="36" name="Column15"/>
    <tableColumn id="37" name="Column16"/>
    <tableColumn id="38" name="Column17"/>
    <tableColumn id="39" name="Column18"/>
    <tableColumn id="40" name="Column19"/>
    <tableColumn id="41" name="Column20"/>
    <tableColumn id="42" name="Column21"/>
    <tableColumn id="43" name="Column22"/>
    <tableColumn id="44" name="Column23"/>
    <tableColumn id="45" name="Column24"/>
    <tableColumn id="46" name="Column25"/>
    <tableColumn id="47" name="Column26"/>
    <tableColumn id="48" name="Column27"/>
    <tableColumn id="49" name="Column28"/>
    <tableColumn id="50" name="Column29"/>
    <tableColumn id="51" name="Column30"/>
    <tableColumn id="52" name="Column31"/>
    <tableColumn id="53" name="Column32"/>
    <tableColumn id="54" name="Column33"/>
    <tableColumn id="55" name="Column34"/>
    <tableColumn id="56" name="Column35"/>
    <tableColumn id="57" name="Column36"/>
    <tableColumn id="58" name="Column37"/>
    <tableColumn id="59" name="Column38"/>
    <tableColumn id="60" name="Column39"/>
    <tableColumn id="61" name="Column40"/>
    <tableColumn id="62" name="Column41"/>
    <tableColumn id="63" name="Column42"/>
    <tableColumn id="64" name="Column43"/>
    <tableColumn id="65" name="Column44"/>
    <tableColumn id="66" name="Column45"/>
    <tableColumn id="67" name="Column46"/>
    <tableColumn id="68" name="Column47"/>
    <tableColumn id="69" name="Column48"/>
    <tableColumn id="70" name="Column49"/>
    <tableColumn id="71" name="Column50"/>
    <tableColumn id="72" name="Column51"/>
    <tableColumn id="73" name="Column52"/>
    <tableColumn id="74" name="Column53"/>
    <tableColumn id="75" name="Column54"/>
    <tableColumn id="76" name="Column55"/>
    <tableColumn id="77" name="Column56"/>
    <tableColumn id="78" name="Column57"/>
    <tableColumn id="79" name="Column58"/>
    <tableColumn id="80" name="Column59"/>
    <tableColumn id="81" name="Column60"/>
    <tableColumn id="82" name="Column61"/>
    <tableColumn id="83" name="Column62"/>
    <tableColumn id="84" name="Column63"/>
    <tableColumn id="85" name="Column64"/>
    <tableColumn id="86" name="Column65"/>
    <tableColumn id="87" name="Column66"/>
    <tableColumn id="88" name="Column67"/>
    <tableColumn id="89" name="Column68"/>
    <tableColumn id="90" name="Column69"/>
    <tableColumn id="91" name="Column70"/>
    <tableColumn id="92" name="Column71"/>
    <tableColumn id="93" name="Column72"/>
    <tableColumn id="94" name="Column73"/>
    <tableColumn id="95" name="Column74"/>
    <tableColumn id="96" name="Column75"/>
    <tableColumn id="97" name="Column76"/>
    <tableColumn id="98" name="Column77"/>
    <tableColumn id="99" name="Column78"/>
    <tableColumn id="100" name="Column79"/>
    <tableColumn id="101" name="Column80"/>
    <tableColumn id="102" name="Column81"/>
    <tableColumn id="103" name="Column82"/>
    <tableColumn id="104" name="Column83"/>
    <tableColumn id="105" name="Column84"/>
    <tableColumn id="106" name="Column85"/>
    <tableColumn id="107" name="Column86"/>
    <tableColumn id="108" name="Column87"/>
    <tableColumn id="109" name="Column88"/>
    <tableColumn id="110" name="Column89"/>
    <tableColumn id="111" name="Column90"/>
    <tableColumn id="112" name="Column91"/>
    <tableColumn id="113" name="Column92"/>
    <tableColumn id="114" name="Column93"/>
    <tableColumn id="115" name="Column94"/>
    <tableColumn id="116" name="Column95"/>
    <tableColumn id="117" name="Column96"/>
    <tableColumn id="118" name="Column97"/>
    <tableColumn id="119" name="Column98"/>
    <tableColumn id="120" name="Column99"/>
    <tableColumn id="121" name="Column100"/>
    <tableColumn id="122" name="Column101"/>
    <tableColumn id="123" name="Column102"/>
    <tableColumn id="124" name="Column103"/>
    <tableColumn id="125" name="Column104"/>
    <tableColumn id="126" name="Column105"/>
    <tableColumn id="127" name="Column106"/>
    <tableColumn id="128" name="Column107"/>
    <tableColumn id="129" name="Column108"/>
    <tableColumn id="130" name="Column109"/>
    <tableColumn id="131" name="Column110"/>
    <tableColumn id="132" name="Column111"/>
    <tableColumn id="133" name="Column112"/>
    <tableColumn id="134" name="Column113"/>
    <tableColumn id="135" name="Column114"/>
    <tableColumn id="136" name="Column115"/>
    <tableColumn id="137" name="Column116"/>
    <tableColumn id="138" name="Column117"/>
    <tableColumn id="139" name="Column118"/>
    <tableColumn id="140" name="Column119"/>
    <tableColumn id="141" name="Column120"/>
    <tableColumn id="142" name="Column121"/>
    <tableColumn id="143" name="Column122"/>
    <tableColumn id="144" name="Column123"/>
    <tableColumn id="145" name="Column124"/>
    <tableColumn id="146" name="Column125"/>
    <tableColumn id="147" name="Column126"/>
    <tableColumn id="148" name="Column127"/>
    <tableColumn id="149" name="Column128"/>
    <tableColumn id="150" name="Column129"/>
    <tableColumn id="151" name="Column130"/>
    <tableColumn id="152" name="Column131"/>
    <tableColumn id="153" name="Column132"/>
    <tableColumn id="154" name="Column133"/>
    <tableColumn id="155" name="Column134"/>
    <tableColumn id="156" name="Column135"/>
    <tableColumn id="157" name="Column136"/>
    <tableColumn id="158" name="Column137"/>
    <tableColumn id="159" name="Column138"/>
    <tableColumn id="160" name="Column139"/>
    <tableColumn id="161" name="Column140"/>
    <tableColumn id="162" name="Column141"/>
    <tableColumn id="163" name="Column142"/>
    <tableColumn id="164" name="Column143"/>
    <tableColumn id="165" name="Column144"/>
    <tableColumn id="166" name="Column145"/>
    <tableColumn id="167" name="Column146"/>
    <tableColumn id="168" name="Column147"/>
    <tableColumn id="169" name="Column148"/>
    <tableColumn id="170" name="Column149"/>
    <tableColumn id="171" name="Column150"/>
    <tableColumn id="172" name="Column151"/>
    <tableColumn id="173" name="Column152"/>
    <tableColumn id="174" name="Column153"/>
    <tableColumn id="175" name="Column154"/>
    <tableColumn id="176" name="Column155"/>
    <tableColumn id="177" name="Column156"/>
    <tableColumn id="178" name="Column157"/>
    <tableColumn id="179" name="Column158"/>
    <tableColumn id="180" name="Column159"/>
    <tableColumn id="181" name="Column160"/>
    <tableColumn id="182" name="Column161"/>
    <tableColumn id="183" name="Column162"/>
    <tableColumn id="184" name="Column163"/>
    <tableColumn id="185" name="Column164"/>
    <tableColumn id="186" name="Column165"/>
    <tableColumn id="187" name="Column166"/>
    <tableColumn id="188" name="Column167"/>
    <tableColumn id="189" name="Column168"/>
    <tableColumn id="190" name="Column169"/>
    <tableColumn id="191" name="Column170"/>
    <tableColumn id="192" name="Column171"/>
    <tableColumn id="193" name="Column172"/>
    <tableColumn id="194" name="Column173"/>
    <tableColumn id="195" name="Column174"/>
    <tableColumn id="196" name="Column175"/>
    <tableColumn id="197" name="Column176"/>
    <tableColumn id="198" name="Column177"/>
    <tableColumn id="199" name="Column178"/>
    <tableColumn id="200" name="Column179"/>
    <tableColumn id="201" name="Column180"/>
    <tableColumn id="202" name="Column181"/>
    <tableColumn id="203" name="Column182"/>
    <tableColumn id="204" name="Column183"/>
    <tableColumn id="205" name="Column184"/>
    <tableColumn id="206" name="Column185"/>
    <tableColumn id="207" name="Column186"/>
    <tableColumn id="208" name="Column187"/>
    <tableColumn id="209" name="Column188"/>
    <tableColumn id="210" name="Column189"/>
    <tableColumn id="211" name="Column190"/>
    <tableColumn id="212" name="Column191"/>
    <tableColumn id="213" name="Column192"/>
    <tableColumn id="214" name="Column193"/>
    <tableColumn id="215" name="Column194"/>
    <tableColumn id="216" name="Column195"/>
    <tableColumn id="217" name="Column196"/>
    <tableColumn id="218" name="Column197"/>
    <tableColumn id="219" name="Column198"/>
    <tableColumn id="220" name="Column199"/>
    <tableColumn id="221" name="Column200"/>
    <tableColumn id="222" name="Column201"/>
    <tableColumn id="223" name="Column202"/>
    <tableColumn id="224" name="Column203"/>
    <tableColumn id="225" name="Column204"/>
    <tableColumn id="226" name="Column205"/>
    <tableColumn id="227" name="Column206"/>
    <tableColumn id="228" name="Column207"/>
    <tableColumn id="229" name="Column208"/>
    <tableColumn id="230" name="Column209"/>
    <tableColumn id="231" name="Column210"/>
    <tableColumn id="232" name="Column211"/>
    <tableColumn id="233" name="Column212"/>
    <tableColumn id="234" name="Column213"/>
    <tableColumn id="235" name="Column214"/>
    <tableColumn id="236" name="Column215"/>
    <tableColumn id="237" name="Column216"/>
    <tableColumn id="238" name="Column217"/>
    <tableColumn id="239" name="Column218"/>
    <tableColumn id="240" name="Column219"/>
    <tableColumn id="241" name="Column220"/>
    <tableColumn id="242" name="Column221"/>
    <tableColumn id="243" name="Column222"/>
    <tableColumn id="244" name="Column223"/>
    <tableColumn id="245" name="Column224"/>
    <tableColumn id="246" name="Column225"/>
    <tableColumn id="247" name="Column226"/>
    <tableColumn id="248" name="Column227"/>
    <tableColumn id="249" name="Column228"/>
    <tableColumn id="250" name="Column229"/>
    <tableColumn id="251" name="Column230"/>
    <tableColumn id="252" name="Column231"/>
    <tableColumn id="253" name="Column232"/>
    <tableColumn id="254" name="Column233"/>
    <tableColumn id="255" name="Column234"/>
    <tableColumn id="256" name="Column235"/>
    <tableColumn id="257" name="Column236"/>
    <tableColumn id="258" name="Column237"/>
    <tableColumn id="259" name="Column238"/>
    <tableColumn id="260" name="Column239"/>
    <tableColumn id="261" name="Column240"/>
    <tableColumn id="262" name="Column241"/>
    <tableColumn id="263" name="Column242"/>
    <tableColumn id="264" name="Column243"/>
    <tableColumn id="265" name="Column244"/>
    <tableColumn id="266" name="Column245"/>
    <tableColumn id="267" name="Column246"/>
    <tableColumn id="268" name="Column247"/>
    <tableColumn id="269" name="Column248"/>
    <tableColumn id="270" name="Column249"/>
    <tableColumn id="271" name="Column250"/>
    <tableColumn id="272" name="Column251"/>
    <tableColumn id="273" name="Column252"/>
    <tableColumn id="274" name="Column253"/>
    <tableColumn id="275" name="Column254"/>
    <tableColumn id="276" name="Column255"/>
    <tableColumn id="277" name="Column256"/>
    <tableColumn id="278" name="Column257"/>
    <tableColumn id="279" name="Column258"/>
    <tableColumn id="280" name="Column259"/>
    <tableColumn id="281" name="Column260"/>
    <tableColumn id="282" name="Column261"/>
    <tableColumn id="283" name="Column262"/>
    <tableColumn id="284" name="Column263"/>
    <tableColumn id="285" name="Column264"/>
    <tableColumn id="286" name="Column265"/>
    <tableColumn id="287" name="Column266"/>
    <tableColumn id="288" name="Column267"/>
    <tableColumn id="289" name="Column268"/>
    <tableColumn id="290" name="Column269"/>
    <tableColumn id="291" name="Column270"/>
    <tableColumn id="292" name="Column271"/>
    <tableColumn id="293" name="Column272"/>
    <tableColumn id="294" name="Column273"/>
    <tableColumn id="295" name="Column274"/>
    <tableColumn id="296" name="Column275"/>
    <tableColumn id="297" name="Column276"/>
    <tableColumn id="298" name="Column277"/>
    <tableColumn id="299" name="Column278"/>
    <tableColumn id="300" name="Column279"/>
    <tableColumn id="301" name="Column280"/>
    <tableColumn id="302" name="Column281"/>
    <tableColumn id="303" name="Column282"/>
    <tableColumn id="304" name="Column283"/>
    <tableColumn id="305" name="Column284"/>
    <tableColumn id="306" name="Column285"/>
    <tableColumn id="307" name="Column286"/>
    <tableColumn id="308" name="Column287"/>
    <tableColumn id="309" name="Column288"/>
    <tableColumn id="310" name="Column289"/>
    <tableColumn id="311" name="Column290"/>
    <tableColumn id="312" name="Column291"/>
    <tableColumn id="313" name="Column292"/>
    <tableColumn id="314" name="Column293"/>
    <tableColumn id="315" name="Column294"/>
    <tableColumn id="316" name="Column295"/>
    <tableColumn id="317" name="Column296"/>
    <tableColumn id="318" name="Column297"/>
    <tableColumn id="319" name="Column298"/>
    <tableColumn id="320" name="Column299"/>
    <tableColumn id="321" name="Column300"/>
    <tableColumn id="322" name="Column301"/>
    <tableColumn id="323" name="Column302"/>
    <tableColumn id="324" name="Column303"/>
    <tableColumn id="325" name="Column304"/>
    <tableColumn id="326" name="Column305"/>
    <tableColumn id="327" name="Column306"/>
    <tableColumn id="328" name="Column307"/>
    <tableColumn id="329" name="Column308"/>
    <tableColumn id="330" name="Column309"/>
    <tableColumn id="331" name="Column310"/>
    <tableColumn id="332" name="Column311"/>
    <tableColumn id="333" name="Column312"/>
    <tableColumn id="334" name="Column313"/>
    <tableColumn id="335" name="Column314"/>
    <tableColumn id="336" name="Column315"/>
    <tableColumn id="337" name="Column316"/>
    <tableColumn id="338" name="Column317"/>
    <tableColumn id="339" name="Column318"/>
    <tableColumn id="340" name="Column319"/>
    <tableColumn id="341" name="Column320"/>
    <tableColumn id="342" name="Column321"/>
    <tableColumn id="343" name="Column322"/>
    <tableColumn id="344" name="Column323"/>
    <tableColumn id="345" name="Column324"/>
    <tableColumn id="346" name="Column325"/>
    <tableColumn id="347" name="Column326"/>
    <tableColumn id="348" name="Column327"/>
    <tableColumn id="349" name="Column328"/>
    <tableColumn id="350" name="Column329"/>
    <tableColumn id="351" name="Column330"/>
    <tableColumn id="352" name="Column331"/>
    <tableColumn id="353" name="Column332"/>
    <tableColumn id="354" name="Column333"/>
    <tableColumn id="355" name="Column334"/>
    <tableColumn id="356" name="Column335"/>
    <tableColumn id="357" name="Column336"/>
    <tableColumn id="358" name="Column337"/>
    <tableColumn id="359" name="Column338"/>
    <tableColumn id="360" name="Column339"/>
    <tableColumn id="361" name="Column340"/>
    <tableColumn id="362" name="Column341"/>
    <tableColumn id="363" name="Column342"/>
    <tableColumn id="364" name="Column343"/>
    <tableColumn id="365" name="Column344"/>
    <tableColumn id="366" name="Column345"/>
    <tableColumn id="367" name="Column346"/>
    <tableColumn id="368" name="Column347"/>
    <tableColumn id="369" name="Column348"/>
    <tableColumn id="370" name="Column349"/>
    <tableColumn id="371" name="Column350"/>
    <tableColumn id="372" name="Column351"/>
    <tableColumn id="373" name="Column352"/>
    <tableColumn id="374" name="Column353"/>
    <tableColumn id="375" name="Column354"/>
    <tableColumn id="376" name="Column355"/>
    <tableColumn id="377" name="Column356"/>
    <tableColumn id="378" name="Column357"/>
    <tableColumn id="379" name="Column358"/>
    <tableColumn id="380" name="Column359"/>
    <tableColumn id="381" name="Column360"/>
    <tableColumn id="382" name="Column361"/>
    <tableColumn id="383" name="Column362"/>
    <tableColumn id="384" name="Column363"/>
    <tableColumn id="385" name="Column364"/>
    <tableColumn id="386" name="Column365"/>
    <tableColumn id="387" name="Column366"/>
    <tableColumn id="388" name="Column367"/>
    <tableColumn id="389" name="Column368"/>
    <tableColumn id="390" name="Column369"/>
    <tableColumn id="391" name="Column370"/>
    <tableColumn id="392" name="Column371"/>
    <tableColumn id="393" name="Column372"/>
    <tableColumn id="394" name="Column373"/>
    <tableColumn id="395" name="Column374"/>
    <tableColumn id="396" name="Column375"/>
    <tableColumn id="397" name="Column376"/>
    <tableColumn id="398" name="Column377"/>
    <tableColumn id="399" name="Column378"/>
    <tableColumn id="400" name="Column379"/>
    <tableColumn id="401" name="Column380"/>
    <tableColumn id="402" name="Column381"/>
    <tableColumn id="403" name="Column382"/>
    <tableColumn id="404" name="Column383"/>
    <tableColumn id="405" name="Column384"/>
    <tableColumn id="406" name="Column385"/>
    <tableColumn id="407" name="Column386"/>
    <tableColumn id="408" name="Column387"/>
    <tableColumn id="409" name="Column388"/>
    <tableColumn id="410" name="Column389"/>
    <tableColumn id="411" name="Column390"/>
    <tableColumn id="412" name="Column391"/>
    <tableColumn id="413" name="Column392"/>
    <tableColumn id="414" name="Column393"/>
    <tableColumn id="415" name="Column394"/>
    <tableColumn id="416" name="Column395"/>
    <tableColumn id="417" name="Column396"/>
    <tableColumn id="418" name="Column397"/>
    <tableColumn id="419" name="Column398"/>
    <tableColumn id="420" name="Column399"/>
    <tableColumn id="421" name="Column400"/>
    <tableColumn id="422" name="Column401"/>
    <tableColumn id="423" name="Column402"/>
    <tableColumn id="424" name="Column403"/>
    <tableColumn id="425" name="Column404"/>
    <tableColumn id="426" name="Column405"/>
    <tableColumn id="427" name="Column406"/>
    <tableColumn id="428" name="Column407"/>
    <tableColumn id="429" name="Column408"/>
    <tableColumn id="430" name="Column409"/>
    <tableColumn id="431" name="Column410"/>
    <tableColumn id="432" name="Column411"/>
    <tableColumn id="433" name="Column412"/>
    <tableColumn id="434" name="Column413"/>
    <tableColumn id="435" name="Column414"/>
    <tableColumn id="436" name="Column415"/>
    <tableColumn id="437" name="Column416"/>
    <tableColumn id="438" name="Column417"/>
    <tableColumn id="439" name="Column418"/>
    <tableColumn id="440" name="Column419"/>
    <tableColumn id="441" name="Column420"/>
    <tableColumn id="442" name="Column421"/>
    <tableColumn id="443" name="Column422"/>
    <tableColumn id="444" name="Column423"/>
    <tableColumn id="445" name="Column424"/>
    <tableColumn id="446" name="Column425"/>
    <tableColumn id="447" name="Column426"/>
    <tableColumn id="448" name="Column427"/>
    <tableColumn id="449" name="Column428"/>
    <tableColumn id="450" name="Column429"/>
    <tableColumn id="451" name="Column430"/>
    <tableColumn id="452" name="Column431"/>
    <tableColumn id="453" name="Column432"/>
    <tableColumn id="454" name="Column433"/>
    <tableColumn id="455" name="Column434"/>
    <tableColumn id="456" name="Column435"/>
    <tableColumn id="457" name="Column436"/>
    <tableColumn id="458" name="Column437"/>
    <tableColumn id="459" name="Column438"/>
    <tableColumn id="460" name="Column439"/>
    <tableColumn id="461" name="Column440"/>
    <tableColumn id="462" name="Column441"/>
    <tableColumn id="463" name="Column442"/>
    <tableColumn id="464" name="Column443"/>
    <tableColumn id="465" name="Column444"/>
    <tableColumn id="466" name="Column445"/>
    <tableColumn id="467" name="Column446"/>
    <tableColumn id="468" name="Column447"/>
    <tableColumn id="469" name="Column448"/>
    <tableColumn id="470" name="Column449"/>
    <tableColumn id="471" name="Column450"/>
    <tableColumn id="472" name="Column451"/>
    <tableColumn id="473" name="Column452"/>
    <tableColumn id="474" name="Column453"/>
    <tableColumn id="475" name="Column454"/>
    <tableColumn id="476" name="Column455"/>
    <tableColumn id="477" name="Column456"/>
    <tableColumn id="478" name="Column457"/>
    <tableColumn id="479" name="Column458"/>
    <tableColumn id="480" name="Column459"/>
    <tableColumn id="481" name="Column460"/>
    <tableColumn id="482" name="Column461"/>
    <tableColumn id="483" name="Column462"/>
    <tableColumn id="484" name="Column463"/>
    <tableColumn id="485" name="Column464"/>
    <tableColumn id="486" name="Column465"/>
    <tableColumn id="487" name="Column466"/>
    <tableColumn id="488" name="Column467"/>
    <tableColumn id="489" name="Column468"/>
    <tableColumn id="490" name="Column469"/>
    <tableColumn id="491" name="Column470"/>
    <tableColumn id="492" name="Column471"/>
    <tableColumn id="493" name="Column472"/>
    <tableColumn id="494" name="Column473"/>
    <tableColumn id="495" name="Column474"/>
    <tableColumn id="496" name="Column475"/>
    <tableColumn id="497" name="Column476"/>
    <tableColumn id="498" name="Column477"/>
    <tableColumn id="499" name="Column478"/>
    <tableColumn id="500" name="Column479"/>
    <tableColumn id="501" name="Column480"/>
    <tableColumn id="502" name="Column481"/>
    <tableColumn id="503" name="Column482"/>
    <tableColumn id="504" name="Column483"/>
    <tableColumn id="505" name="Column484"/>
    <tableColumn id="506" name="Column485"/>
    <tableColumn id="507" name="Column486"/>
    <tableColumn id="508" name="Column487"/>
    <tableColumn id="509" name="Column488"/>
    <tableColumn id="510" name="Column489"/>
    <tableColumn id="511" name="Column490"/>
    <tableColumn id="512" name="Column491"/>
    <tableColumn id="513" name="Column492"/>
    <tableColumn id="514" name="Column493"/>
    <tableColumn id="515" name="Column494"/>
    <tableColumn id="516" name="Column495"/>
    <tableColumn id="517" name="Column496"/>
    <tableColumn id="518" name="Column497"/>
    <tableColumn id="519" name="Column498"/>
    <tableColumn id="520" name="Column499"/>
    <tableColumn id="521" name="Column500"/>
    <tableColumn id="522" name="Column501"/>
    <tableColumn id="523" name="Column502"/>
    <tableColumn id="524" name="Column503"/>
    <tableColumn id="525" name="Column504"/>
    <tableColumn id="526" name="Column505"/>
    <tableColumn id="527" name="Column506"/>
    <tableColumn id="528" name="Column507"/>
    <tableColumn id="529" name="Column508"/>
    <tableColumn id="530" name="Column509"/>
    <tableColumn id="531" name="Column510"/>
    <tableColumn id="532" name="Column511"/>
    <tableColumn id="533" name="Column512"/>
    <tableColumn id="534" name="Column513"/>
    <tableColumn id="535" name="Column514"/>
    <tableColumn id="536" name="Column515"/>
    <tableColumn id="537" name="Column516"/>
    <tableColumn id="538" name="Column517"/>
    <tableColumn id="539" name="Column518"/>
    <tableColumn id="540" name="Column519"/>
    <tableColumn id="541" name="Column520"/>
    <tableColumn id="542" name="Column521"/>
    <tableColumn id="543" name="Column522"/>
    <tableColumn id="544" name="Column523"/>
    <tableColumn id="545" name="Column524"/>
    <tableColumn id="546" name="Column525"/>
    <tableColumn id="547" name="Column526"/>
    <tableColumn id="548" name="Column527"/>
    <tableColumn id="549" name="Column528"/>
    <tableColumn id="550" name="Column529"/>
    <tableColumn id="551" name="Column530"/>
    <tableColumn id="552" name="Column531"/>
    <tableColumn id="553" name="Column532"/>
    <tableColumn id="554" name="Column533"/>
    <tableColumn id="555" name="Column534"/>
    <tableColumn id="556" name="Column535"/>
    <tableColumn id="557" name="Column536"/>
    <tableColumn id="558" name="Column537"/>
    <tableColumn id="559" name="Column538"/>
    <tableColumn id="560" name="Column539"/>
    <tableColumn id="561" name="Column540"/>
    <tableColumn id="562" name="Column541"/>
    <tableColumn id="563" name="Column542"/>
    <tableColumn id="564" name="Column543"/>
    <tableColumn id="565" name="Column544"/>
    <tableColumn id="566" name="Column545"/>
    <tableColumn id="567" name="Column546"/>
    <tableColumn id="568" name="Column547"/>
    <tableColumn id="569" name="Column548"/>
    <tableColumn id="570" name="Column549"/>
    <tableColumn id="571" name="Column550"/>
    <tableColumn id="572" name="Column551"/>
    <tableColumn id="573" name="Column552"/>
    <tableColumn id="574" name="Column553"/>
    <tableColumn id="575" name="Column554"/>
    <tableColumn id="576" name="Column555"/>
    <tableColumn id="577" name="Column556"/>
    <tableColumn id="578" name="Column557"/>
    <tableColumn id="579" name="Column558"/>
    <tableColumn id="580" name="Column559"/>
    <tableColumn id="581" name="Column560"/>
    <tableColumn id="582" name="Column561"/>
    <tableColumn id="583" name="Column562"/>
    <tableColumn id="584" name="Column563"/>
    <tableColumn id="585" name="Column564"/>
    <tableColumn id="586" name="Column565"/>
    <tableColumn id="587" name="Column566"/>
    <tableColumn id="588" name="Column567"/>
    <tableColumn id="589" name="Column568"/>
    <tableColumn id="590" name="Column569"/>
    <tableColumn id="591" name="Column570"/>
    <tableColumn id="592" name="Column571"/>
    <tableColumn id="593" name="Column572"/>
    <tableColumn id="594" name="Column573"/>
    <tableColumn id="595" name="Column574"/>
    <tableColumn id="596" name="Column575"/>
    <tableColumn id="597" name="Column576"/>
    <tableColumn id="598" name="Column577"/>
    <tableColumn id="599" name="Column578"/>
    <tableColumn id="600" name="Column579"/>
    <tableColumn id="601" name="Column580"/>
    <tableColumn id="602" name="Column581"/>
    <tableColumn id="603" name="Column582"/>
    <tableColumn id="604" name="Column583"/>
    <tableColumn id="605" name="Column584"/>
    <tableColumn id="606" name="Column585"/>
    <tableColumn id="607" name="Column586"/>
    <tableColumn id="608" name="Column587"/>
    <tableColumn id="609" name="Column588"/>
    <tableColumn id="610" name="Column589"/>
    <tableColumn id="611" name="Column590"/>
    <tableColumn id="612" name="Column591"/>
    <tableColumn id="613" name="Column592"/>
    <tableColumn id="614" name="Column593"/>
    <tableColumn id="615" name="Column594"/>
    <tableColumn id="616" name="Column595"/>
    <tableColumn id="617" name="Column596"/>
    <tableColumn id="618" name="Column597"/>
    <tableColumn id="619" name="Column598"/>
    <tableColumn id="620" name="Column599"/>
    <tableColumn id="621" name="Column600"/>
    <tableColumn id="622" name="Column601"/>
    <tableColumn id="623" name="Column602"/>
    <tableColumn id="624" name="Column603"/>
    <tableColumn id="625" name="Column604"/>
    <tableColumn id="626" name="Column605"/>
    <tableColumn id="627" name="Column606"/>
    <tableColumn id="628" name="Column607"/>
    <tableColumn id="629" name="Column608"/>
    <tableColumn id="630" name="Column609"/>
    <tableColumn id="631" name="Column610"/>
    <tableColumn id="632" name="Column611"/>
    <tableColumn id="633" name="Column612"/>
    <tableColumn id="634" name="Column613"/>
    <tableColumn id="635" name="Column614"/>
    <tableColumn id="636" name="Column615"/>
    <tableColumn id="637" name="Column616"/>
    <tableColumn id="638" name="Column617"/>
    <tableColumn id="639" name="Column618"/>
    <tableColumn id="640" name="Column619"/>
    <tableColumn id="641" name="Column620"/>
    <tableColumn id="642" name="Column621"/>
    <tableColumn id="643" name="Column622"/>
    <tableColumn id="644" name="Column623"/>
    <tableColumn id="645" name="Column624"/>
    <tableColumn id="646" name="Column625"/>
    <tableColumn id="647" name="Column626"/>
    <tableColumn id="648" name="Column627"/>
    <tableColumn id="649" name="Column628"/>
    <tableColumn id="650" name="Column629"/>
    <tableColumn id="651" name="Column630"/>
    <tableColumn id="652" name="Column631"/>
    <tableColumn id="653" name="Column632"/>
    <tableColumn id="654" name="Column633"/>
    <tableColumn id="655" name="Column634"/>
    <tableColumn id="656" name="Column635"/>
    <tableColumn id="657" name="Column636"/>
    <tableColumn id="658" name="Column637"/>
    <tableColumn id="659" name="Column638"/>
    <tableColumn id="660" name="Column639"/>
    <tableColumn id="661" name="Column640"/>
    <tableColumn id="662" name="Column641"/>
    <tableColumn id="663" name="Column642"/>
    <tableColumn id="664" name="Column643"/>
    <tableColumn id="665" name="Column644"/>
    <tableColumn id="666" name="Column645"/>
    <tableColumn id="667" name="Column646"/>
    <tableColumn id="668" name="Column647"/>
    <tableColumn id="669" name="Column648"/>
    <tableColumn id="670" name="Column649"/>
    <tableColumn id="671" name="Column650"/>
    <tableColumn id="672" name="Column651"/>
    <tableColumn id="673" name="Column652"/>
    <tableColumn id="674" name="Column653"/>
    <tableColumn id="675" name="Column654"/>
    <tableColumn id="676" name="Column655"/>
    <tableColumn id="677" name="Column656"/>
    <tableColumn id="678" name="Column657"/>
    <tableColumn id="679" name="Column658"/>
    <tableColumn id="680" name="Column659"/>
    <tableColumn id="681" name="Column660"/>
    <tableColumn id="682" name="Column661"/>
    <tableColumn id="683" name="Column662"/>
    <tableColumn id="684" name="Column663"/>
    <tableColumn id="685" name="Column664"/>
    <tableColumn id="686" name="Column665"/>
    <tableColumn id="687" name="Column666"/>
    <tableColumn id="688" name="Column667"/>
    <tableColumn id="689" name="Column668"/>
    <tableColumn id="690" name="Column669"/>
    <tableColumn id="691" name="Column670"/>
    <tableColumn id="692" name="Column671"/>
    <tableColumn id="693" name="Column672"/>
    <tableColumn id="694" name="Column673"/>
    <tableColumn id="695" name="Column674"/>
    <tableColumn id="696" name="Column675"/>
    <tableColumn id="697" name="Column676"/>
    <tableColumn id="698" name="Column677"/>
    <tableColumn id="699" name="Column678"/>
    <tableColumn id="700" name="Column679"/>
    <tableColumn id="701" name="Column680"/>
    <tableColumn id="702" name="Column681"/>
    <tableColumn id="703" name="Column682"/>
    <tableColumn id="704" name="Column683"/>
    <tableColumn id="705" name="Column684"/>
    <tableColumn id="706" name="Column685"/>
    <tableColumn id="707" name="Column686"/>
    <tableColumn id="708" name="Column687"/>
    <tableColumn id="709" name="Column688"/>
    <tableColumn id="710" name="Column689"/>
    <tableColumn id="711" name="Column690"/>
    <tableColumn id="712" name="Column691"/>
    <tableColumn id="713" name="Column692"/>
    <tableColumn id="714" name="Column693"/>
    <tableColumn id="715" name="Column694"/>
    <tableColumn id="716" name="Column695"/>
    <tableColumn id="717" name="Column696"/>
    <tableColumn id="718" name="Column697"/>
    <tableColumn id="719" name="Column698"/>
    <tableColumn id="720" name="Column699"/>
    <tableColumn id="721" name="Column700"/>
    <tableColumn id="722" name="Column701"/>
    <tableColumn id="723" name="Column702"/>
    <tableColumn id="724" name="Column703"/>
    <tableColumn id="725" name="Column704"/>
    <tableColumn id="726" name="Column705"/>
    <tableColumn id="727" name="Column706"/>
    <tableColumn id="728" name="Column707"/>
    <tableColumn id="729" name="Column708"/>
    <tableColumn id="730" name="Column709"/>
    <tableColumn id="731" name="Column710"/>
    <tableColumn id="732" name="Column711"/>
    <tableColumn id="733" name="Column712"/>
    <tableColumn id="734" name="Column713"/>
    <tableColumn id="735" name="Column714"/>
    <tableColumn id="736" name="Column715"/>
    <tableColumn id="737" name="Column716"/>
    <tableColumn id="738" name="Column717"/>
    <tableColumn id="739" name="Column718"/>
    <tableColumn id="740" name="Column719"/>
    <tableColumn id="741" name="Column720"/>
    <tableColumn id="742" name="Column721"/>
    <tableColumn id="743" name="Column722"/>
    <tableColumn id="744" name="Column723"/>
    <tableColumn id="745" name="Column724"/>
    <tableColumn id="746" name="Column725"/>
    <tableColumn id="747" name="Column726"/>
    <tableColumn id="748" name="Column727"/>
    <tableColumn id="749" name="Column728"/>
    <tableColumn id="750" name="Column729"/>
    <tableColumn id="751" name="Column730"/>
    <tableColumn id="752" name="Column731"/>
    <tableColumn id="753" name="Column732"/>
    <tableColumn id="754" name="Column733"/>
    <tableColumn id="755" name="Column734"/>
    <tableColumn id="756" name="Column735"/>
    <tableColumn id="757" name="Column736"/>
    <tableColumn id="758" name="Column737"/>
    <tableColumn id="759" name="Column738"/>
    <tableColumn id="760" name="Column739"/>
    <tableColumn id="761" name="Column740"/>
    <tableColumn id="762" name="Column741"/>
    <tableColumn id="763" name="Column742"/>
    <tableColumn id="764" name="Column743"/>
    <tableColumn id="765" name="Column744"/>
    <tableColumn id="766" name="Column745"/>
    <tableColumn id="767" name="Column746"/>
    <tableColumn id="768" name="Column747"/>
    <tableColumn id="769" name="Column748"/>
    <tableColumn id="770" name="Column749"/>
    <tableColumn id="771" name="Column750"/>
    <tableColumn id="772" name="Column751"/>
    <tableColumn id="773" name="Column752"/>
    <tableColumn id="774" name="Column753"/>
    <tableColumn id="775" name="Column754"/>
    <tableColumn id="776" name="Column755"/>
    <tableColumn id="777" name="Column756"/>
    <tableColumn id="778" name="Column757"/>
    <tableColumn id="779" name="Column758"/>
    <tableColumn id="780" name="Column759"/>
    <tableColumn id="781" name="Column760"/>
    <tableColumn id="782" name="Column761"/>
    <tableColumn id="783" name="Column762"/>
    <tableColumn id="784" name="Column763"/>
    <tableColumn id="785" name="Column764"/>
    <tableColumn id="786" name="Column765"/>
    <tableColumn id="787" name="Column766"/>
    <tableColumn id="788" name="Column767"/>
    <tableColumn id="789" name="Column768"/>
    <tableColumn id="790" name="Column769"/>
    <tableColumn id="791" name="Column770"/>
    <tableColumn id="792" name="Column771"/>
    <tableColumn id="793" name="Column772"/>
    <tableColumn id="794" name="Column773"/>
    <tableColumn id="795" name="Column774"/>
    <tableColumn id="796" name="Column775"/>
    <tableColumn id="797" name="Column776"/>
    <tableColumn id="798" name="Column777"/>
    <tableColumn id="799" name="Column778"/>
    <tableColumn id="800" name="Column779"/>
    <tableColumn id="801" name="Column780"/>
    <tableColumn id="802" name="Column781"/>
    <tableColumn id="803" name="Column782"/>
    <tableColumn id="804" name="Column783"/>
    <tableColumn id="805" name="Column784"/>
    <tableColumn id="806" name="Column785"/>
    <tableColumn id="807" name="Column786"/>
    <tableColumn id="808" name="Column787"/>
    <tableColumn id="809" name="Column788"/>
    <tableColumn id="810" name="Column789"/>
    <tableColumn id="811" name="Column790"/>
    <tableColumn id="812" name="Column791"/>
    <tableColumn id="813" name="Column792"/>
    <tableColumn id="814" name="Column793"/>
    <tableColumn id="815" name="Column794"/>
    <tableColumn id="816" name="Column795"/>
    <tableColumn id="817" name="Column796"/>
    <tableColumn id="818" name="Column797"/>
    <tableColumn id="819" name="Column798"/>
    <tableColumn id="820" name="Column799"/>
    <tableColumn id="821" name="Column800"/>
    <tableColumn id="822" name="Column801"/>
    <tableColumn id="823" name="Column802"/>
    <tableColumn id="824" name="Column803"/>
    <tableColumn id="825" name="Column804"/>
    <tableColumn id="826" name="Column805"/>
    <tableColumn id="827" name="Column806"/>
    <tableColumn id="828" name="Column807"/>
    <tableColumn id="829" name="Column808"/>
    <tableColumn id="830" name="Column809"/>
    <tableColumn id="831" name="Column810"/>
    <tableColumn id="832" name="Column811"/>
    <tableColumn id="833" name="Column812"/>
    <tableColumn id="834" name="Column813"/>
    <tableColumn id="835" name="Column814"/>
    <tableColumn id="836" name="Column815"/>
    <tableColumn id="837" name="Column816"/>
    <tableColumn id="838" name="Column817"/>
    <tableColumn id="839" name="Column818"/>
    <tableColumn id="840" name="Column819"/>
    <tableColumn id="841" name="Column820"/>
    <tableColumn id="842" name="Column821"/>
    <tableColumn id="843" name="Column822"/>
    <tableColumn id="844" name="Column823"/>
    <tableColumn id="845" name="Column824"/>
    <tableColumn id="846" name="Column825"/>
    <tableColumn id="847" name="Column826"/>
    <tableColumn id="848" name="Column827"/>
    <tableColumn id="849" name="Column828"/>
    <tableColumn id="850" name="Column829"/>
    <tableColumn id="851" name="Column830"/>
    <tableColumn id="852" name="Column831"/>
    <tableColumn id="853" name="Column832"/>
    <tableColumn id="854" name="Column833"/>
    <tableColumn id="855" name="Column834"/>
    <tableColumn id="856" name="Column835"/>
    <tableColumn id="857" name="Column836"/>
    <tableColumn id="858" name="Column837"/>
    <tableColumn id="859" name="Column838"/>
    <tableColumn id="860" name="Column839"/>
    <tableColumn id="861" name="Column840"/>
    <tableColumn id="862" name="Column841"/>
    <tableColumn id="863" name="Column842"/>
    <tableColumn id="864" name="Column843"/>
    <tableColumn id="865" name="Column844"/>
    <tableColumn id="866" name="Column845"/>
    <tableColumn id="867" name="Column846"/>
    <tableColumn id="868" name="Column847"/>
    <tableColumn id="869" name="Column848"/>
    <tableColumn id="870" name="Column849"/>
    <tableColumn id="871" name="Column850"/>
    <tableColumn id="872" name="Column851"/>
    <tableColumn id="873" name="Column852"/>
    <tableColumn id="874" name="Column853"/>
    <tableColumn id="875" name="Column854"/>
    <tableColumn id="876" name="Column855"/>
    <tableColumn id="877" name="Column856"/>
    <tableColumn id="878" name="Column857"/>
    <tableColumn id="879" name="Column858"/>
    <tableColumn id="880" name="Column859"/>
    <tableColumn id="881" name="Column860"/>
    <tableColumn id="882" name="Column861"/>
    <tableColumn id="883" name="Column862"/>
    <tableColumn id="884" name="Column863"/>
    <tableColumn id="885" name="Column864"/>
    <tableColumn id="886" name="Column865"/>
    <tableColumn id="887" name="Column866"/>
    <tableColumn id="888" name="Column867"/>
    <tableColumn id="889" name="Column868"/>
    <tableColumn id="890" name="Column869"/>
    <tableColumn id="891" name="Column870"/>
    <tableColumn id="892" name="Column871"/>
    <tableColumn id="893" name="Column872"/>
    <tableColumn id="894" name="Column873"/>
    <tableColumn id="895" name="Column874"/>
    <tableColumn id="896" name="Column875"/>
    <tableColumn id="897" name="Column876"/>
    <tableColumn id="898" name="Column877"/>
    <tableColumn id="899" name="Column878"/>
    <tableColumn id="900" name="Column879"/>
    <tableColumn id="901" name="Column880"/>
    <tableColumn id="902" name="Column881"/>
    <tableColumn id="903" name="Column882"/>
    <tableColumn id="904" name="Column883"/>
    <tableColumn id="905" name="Column884"/>
    <tableColumn id="906" name="Column885"/>
    <tableColumn id="907" name="Column886"/>
    <tableColumn id="908" name="Column887"/>
    <tableColumn id="909" name="Column888"/>
    <tableColumn id="910" name="Column889"/>
    <tableColumn id="911" name="Column890"/>
    <tableColumn id="912" name="Column891"/>
    <tableColumn id="913" name="Column892"/>
    <tableColumn id="914" name="Column893"/>
    <tableColumn id="915" name="Column894"/>
    <tableColumn id="916" name="Column895"/>
    <tableColumn id="917" name="Column896"/>
    <tableColumn id="918" name="Column897"/>
    <tableColumn id="919" name="Column898"/>
    <tableColumn id="920" name="Column899"/>
    <tableColumn id="921" name="Column900"/>
    <tableColumn id="922" name="Column901"/>
    <tableColumn id="923" name="Column902"/>
    <tableColumn id="924" name="Column903"/>
    <tableColumn id="925" name="Column904"/>
    <tableColumn id="926" name="Column905"/>
    <tableColumn id="927" name="Column906"/>
    <tableColumn id="928" name="Column907"/>
    <tableColumn id="929" name="Column908"/>
    <tableColumn id="930" name="Column909"/>
    <tableColumn id="931" name="Column910"/>
    <tableColumn id="932" name="Column911"/>
    <tableColumn id="933" name="Column912"/>
    <tableColumn id="934" name="Column913"/>
    <tableColumn id="935" name="Column914"/>
    <tableColumn id="936" name="Column915"/>
    <tableColumn id="937" name="Column916"/>
    <tableColumn id="938" name="Column917"/>
    <tableColumn id="939" name="Column918"/>
    <tableColumn id="940" name="Column919"/>
    <tableColumn id="941" name="Column920"/>
    <tableColumn id="942" name="Column921"/>
    <tableColumn id="943" name="Column922"/>
    <tableColumn id="944" name="Column923"/>
    <tableColumn id="945" name="Column924"/>
    <tableColumn id="946" name="Column925"/>
    <tableColumn id="947" name="Column926"/>
    <tableColumn id="948" name="Column927"/>
    <tableColumn id="949" name="Column928"/>
    <tableColumn id="950" name="Column929"/>
    <tableColumn id="951" name="Column930"/>
    <tableColumn id="952" name="Column931"/>
    <tableColumn id="953" name="Column932"/>
    <tableColumn id="954" name="Column933"/>
    <tableColumn id="955" name="Column934"/>
    <tableColumn id="956" name="Column935"/>
    <tableColumn id="957" name="Column936"/>
    <tableColumn id="958" name="Column937"/>
    <tableColumn id="959" name="Column938"/>
    <tableColumn id="960" name="Column939"/>
    <tableColumn id="961" name="Column940"/>
    <tableColumn id="962" name="Column941"/>
    <tableColumn id="963" name="Column942"/>
    <tableColumn id="964" name="Column943"/>
    <tableColumn id="965" name="Column944"/>
    <tableColumn id="966" name="Column945"/>
    <tableColumn id="967" name="Column946"/>
    <tableColumn id="968" name="Column947"/>
    <tableColumn id="969" name="Column948"/>
    <tableColumn id="970" name="Column949"/>
    <tableColumn id="971" name="Column950"/>
    <tableColumn id="972" name="Column951"/>
    <tableColumn id="973" name="Column952"/>
    <tableColumn id="974" name="Column953"/>
    <tableColumn id="975" name="Column954"/>
    <tableColumn id="976" name="Column955"/>
    <tableColumn id="977" name="Column956"/>
    <tableColumn id="978" name="Column957"/>
    <tableColumn id="979" name="Column958"/>
    <tableColumn id="980" name="Column959"/>
    <tableColumn id="981" name="Column960"/>
    <tableColumn id="982" name="Column961"/>
    <tableColumn id="983" name="Column962"/>
    <tableColumn id="984" name="Column963"/>
    <tableColumn id="985" name="Column964"/>
    <tableColumn id="986" name="Column965"/>
    <tableColumn id="987" name="Column966"/>
    <tableColumn id="988" name="Column967"/>
    <tableColumn id="989" name="Column968"/>
    <tableColumn id="990" name="Column969"/>
    <tableColumn id="991" name="Column970"/>
    <tableColumn id="992" name="Column971"/>
    <tableColumn id="993" name="Column972"/>
    <tableColumn id="994" name="Column973"/>
    <tableColumn id="995" name="Column974"/>
    <tableColumn id="996" name="Column975"/>
    <tableColumn id="997" name="Column976"/>
    <tableColumn id="998" name="Column977"/>
    <tableColumn id="999" name="Column978"/>
    <tableColumn id="1000" name="Column979"/>
    <tableColumn id="1001" name="Column980"/>
    <tableColumn id="1002" name="Column981"/>
    <tableColumn id="1003" name="Column982"/>
    <tableColumn id="1004" name="Column983"/>
    <tableColumn id="1005" name="Column984"/>
    <tableColumn id="1006" name="Column985"/>
    <tableColumn id="1007" name="Column986"/>
    <tableColumn id="1008" name="Column987"/>
    <tableColumn id="1009" name="Column988"/>
    <tableColumn id="1010" name="Column989"/>
    <tableColumn id="1011" name="Column990"/>
    <tableColumn id="1012" name="Column991"/>
    <tableColumn id="1013" name="Column992"/>
    <tableColumn id="1014" name="Column993"/>
    <tableColumn id="1015" name="Column994"/>
    <tableColumn id="1016" name="Column995"/>
    <tableColumn id="1017" name="Column996"/>
    <tableColumn id="1018" name="Column997"/>
    <tableColumn id="1019" name="Column998"/>
    <tableColumn id="1020" name="Column999"/>
    <tableColumn id="1021" name="Column1000"/>
    <tableColumn id="1022" name="Column1001"/>
    <tableColumn id="1023" name="Column1002"/>
    <tableColumn id="1024" name="Column100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78"/>
  <sheetViews>
    <sheetView tabSelected="1" workbookViewId="0"/>
  </sheetViews>
  <sheetFormatPr defaultRowHeight="17.100000000000001" customHeight="1"/>
  <cols>
    <col min="1" max="1" width="26.125" style="6" customWidth="1"/>
    <col min="2" max="2" width="14.0625" style="12" customWidth="1"/>
    <col min="3" max="4" width="10.0625" style="12" customWidth="1"/>
    <col min="5" max="5" width="10.0625" style="9" customWidth="1"/>
    <col min="6" max="6" width="10.0625" style="12" customWidth="1"/>
    <col min="7" max="12" width="8.6875" style="9" customWidth="1"/>
    <col min="13" max="20" width="5.25" style="9" customWidth="1"/>
    <col min="21" max="21" width="9.6875" style="9" customWidth="1"/>
    <col min="22" max="258" width="8.6875" style="9" customWidth="1"/>
    <col min="259" max="1024" width="8.6875" customWidth="1"/>
  </cols>
  <sheetData>
    <row r="1" spans="1:1024" s="5" customFormat="1" ht="17.100000000000001" customHeight="1">
      <c r="A1" s="1" t="s">
        <v>0</v>
      </c>
      <c r="B1" s="2" t="s">
        <v>1</v>
      </c>
      <c r="C1" s="2" t="s">
        <v>307</v>
      </c>
      <c r="D1" s="2" t="s">
        <v>308</v>
      </c>
      <c r="E1" s="2" t="s">
        <v>309</v>
      </c>
      <c r="F1" s="3" t="s">
        <v>310</v>
      </c>
      <c r="G1" s="3" t="s">
        <v>311</v>
      </c>
      <c r="H1" s="3" t="s">
        <v>312</v>
      </c>
      <c r="I1" s="3" t="s">
        <v>313</v>
      </c>
      <c r="J1" s="3" t="s">
        <v>314</v>
      </c>
      <c r="K1" s="3" t="s">
        <v>315</v>
      </c>
      <c r="L1" s="3" t="s">
        <v>316</v>
      </c>
      <c r="M1" s="3" t="s">
        <v>317</v>
      </c>
      <c r="N1" s="3" t="s">
        <v>318</v>
      </c>
      <c r="O1" s="3" t="s">
        <v>319</v>
      </c>
      <c r="P1" s="3" t="s">
        <v>320</v>
      </c>
      <c r="Q1" s="3" t="s">
        <v>321</v>
      </c>
      <c r="R1" s="3" t="s">
        <v>322</v>
      </c>
      <c r="S1" s="3" t="s">
        <v>323</v>
      </c>
      <c r="T1" s="4" t="s">
        <v>324</v>
      </c>
      <c r="U1" s="4" t="s">
        <v>2</v>
      </c>
      <c r="V1" s="5" t="s">
        <v>325</v>
      </c>
      <c r="W1" s="5" t="s">
        <v>326</v>
      </c>
      <c r="X1" s="5" t="s">
        <v>327</v>
      </c>
      <c r="Y1" s="5" t="s">
        <v>328</v>
      </c>
      <c r="Z1" s="5" t="s">
        <v>329</v>
      </c>
      <c r="AA1" s="5" t="s">
        <v>330</v>
      </c>
      <c r="AB1" s="5" t="s">
        <v>331</v>
      </c>
      <c r="AC1" s="5" t="s">
        <v>332</v>
      </c>
      <c r="AD1" s="5" t="s">
        <v>333</v>
      </c>
      <c r="AE1" s="5" t="s">
        <v>334</v>
      </c>
      <c r="AF1" s="5" t="s">
        <v>335</v>
      </c>
      <c r="AG1" s="5" t="s">
        <v>336</v>
      </c>
      <c r="AH1" s="5" t="s">
        <v>337</v>
      </c>
      <c r="AI1" s="5" t="s">
        <v>338</v>
      </c>
      <c r="AJ1" s="5" t="s">
        <v>339</v>
      </c>
      <c r="AK1" s="5" t="s">
        <v>340</v>
      </c>
      <c r="AL1" s="5" t="s">
        <v>341</v>
      </c>
      <c r="AM1" s="5" t="s">
        <v>342</v>
      </c>
      <c r="AN1" s="5" t="s">
        <v>343</v>
      </c>
      <c r="AO1" s="5" t="s">
        <v>344</v>
      </c>
      <c r="AP1" s="5" t="s">
        <v>345</v>
      </c>
      <c r="AQ1" s="5" t="s">
        <v>346</v>
      </c>
      <c r="AR1" s="5" t="s">
        <v>347</v>
      </c>
      <c r="AS1" s="5" t="s">
        <v>348</v>
      </c>
      <c r="AT1" s="5" t="s">
        <v>349</v>
      </c>
      <c r="AU1" s="5" t="s">
        <v>350</v>
      </c>
      <c r="AV1" s="5" t="s">
        <v>351</v>
      </c>
      <c r="AW1" s="5" t="s">
        <v>352</v>
      </c>
      <c r="AX1" s="5" t="s">
        <v>353</v>
      </c>
      <c r="AY1" s="5" t="s">
        <v>354</v>
      </c>
      <c r="AZ1" s="5" t="s">
        <v>355</v>
      </c>
      <c r="BA1" s="5" t="s">
        <v>356</v>
      </c>
      <c r="BB1" s="5" t="s">
        <v>357</v>
      </c>
      <c r="BC1" s="5" t="s">
        <v>358</v>
      </c>
      <c r="BD1" s="5" t="s">
        <v>359</v>
      </c>
      <c r="BE1" s="5" t="s">
        <v>360</v>
      </c>
      <c r="BF1" s="5" t="s">
        <v>361</v>
      </c>
      <c r="BG1" s="5" t="s">
        <v>362</v>
      </c>
      <c r="BH1" s="5" t="s">
        <v>363</v>
      </c>
      <c r="BI1" s="5" t="s">
        <v>364</v>
      </c>
      <c r="BJ1" s="5" t="s">
        <v>365</v>
      </c>
      <c r="BK1" s="5" t="s">
        <v>366</v>
      </c>
      <c r="BL1" s="5" t="s">
        <v>367</v>
      </c>
      <c r="BM1" s="5" t="s">
        <v>368</v>
      </c>
      <c r="BN1" s="5" t="s">
        <v>369</v>
      </c>
      <c r="BO1" s="5" t="s">
        <v>370</v>
      </c>
      <c r="BP1" s="5" t="s">
        <v>371</v>
      </c>
      <c r="BQ1" s="5" t="s">
        <v>372</v>
      </c>
      <c r="BR1" s="5" t="s">
        <v>373</v>
      </c>
      <c r="BS1" s="5" t="s">
        <v>374</v>
      </c>
      <c r="BT1" s="5" t="s">
        <v>375</v>
      </c>
      <c r="BU1" s="5" t="s">
        <v>376</v>
      </c>
      <c r="BV1" s="5" t="s">
        <v>377</v>
      </c>
      <c r="BW1" s="5" t="s">
        <v>378</v>
      </c>
      <c r="BX1" s="5" t="s">
        <v>379</v>
      </c>
      <c r="BY1" s="5" t="s">
        <v>380</v>
      </c>
      <c r="BZ1" s="5" t="s">
        <v>381</v>
      </c>
      <c r="CA1" s="5" t="s">
        <v>382</v>
      </c>
      <c r="CB1" s="5" t="s">
        <v>383</v>
      </c>
      <c r="CC1" s="5" t="s">
        <v>384</v>
      </c>
      <c r="CD1" s="5" t="s">
        <v>385</v>
      </c>
      <c r="CE1" s="5" t="s">
        <v>386</v>
      </c>
      <c r="CF1" s="5" t="s">
        <v>387</v>
      </c>
      <c r="CG1" s="5" t="s">
        <v>388</v>
      </c>
      <c r="CH1" s="5" t="s">
        <v>389</v>
      </c>
      <c r="CI1" s="5" t="s">
        <v>390</v>
      </c>
      <c r="CJ1" s="5" t="s">
        <v>391</v>
      </c>
      <c r="CK1" s="5" t="s">
        <v>392</v>
      </c>
      <c r="CL1" s="5" t="s">
        <v>393</v>
      </c>
      <c r="CM1" s="5" t="s">
        <v>394</v>
      </c>
      <c r="CN1" s="5" t="s">
        <v>395</v>
      </c>
      <c r="CO1" s="5" t="s">
        <v>396</v>
      </c>
      <c r="CP1" s="5" t="s">
        <v>397</v>
      </c>
      <c r="CQ1" s="5" t="s">
        <v>398</v>
      </c>
      <c r="CR1" s="5" t="s">
        <v>399</v>
      </c>
      <c r="CS1" s="5" t="s">
        <v>400</v>
      </c>
      <c r="CT1" s="5" t="s">
        <v>401</v>
      </c>
      <c r="CU1" s="5" t="s">
        <v>402</v>
      </c>
      <c r="CV1" s="5" t="s">
        <v>403</v>
      </c>
      <c r="CW1" s="5" t="s">
        <v>404</v>
      </c>
      <c r="CX1" s="5" t="s">
        <v>405</v>
      </c>
      <c r="CY1" s="5" t="s">
        <v>406</v>
      </c>
      <c r="CZ1" s="5" t="s">
        <v>407</v>
      </c>
      <c r="DA1" s="5" t="s">
        <v>408</v>
      </c>
      <c r="DB1" s="5" t="s">
        <v>409</v>
      </c>
      <c r="DC1" s="5" t="s">
        <v>410</v>
      </c>
      <c r="DD1" s="5" t="s">
        <v>411</v>
      </c>
      <c r="DE1" s="5" t="s">
        <v>412</v>
      </c>
      <c r="DF1" s="5" t="s">
        <v>413</v>
      </c>
      <c r="DG1" s="5" t="s">
        <v>414</v>
      </c>
      <c r="DH1" s="5" t="s">
        <v>415</v>
      </c>
      <c r="DI1" s="5" t="s">
        <v>416</v>
      </c>
      <c r="DJ1" s="5" t="s">
        <v>417</v>
      </c>
      <c r="DK1" s="5" t="s">
        <v>418</v>
      </c>
      <c r="DL1" s="5" t="s">
        <v>419</v>
      </c>
      <c r="DM1" s="5" t="s">
        <v>420</v>
      </c>
      <c r="DN1" s="5" t="s">
        <v>421</v>
      </c>
      <c r="DO1" s="5" t="s">
        <v>422</v>
      </c>
      <c r="DP1" s="5" t="s">
        <v>423</v>
      </c>
      <c r="DQ1" s="5" t="s">
        <v>424</v>
      </c>
      <c r="DR1" s="5" t="s">
        <v>425</v>
      </c>
      <c r="DS1" s="5" t="s">
        <v>426</v>
      </c>
      <c r="DT1" s="5" t="s">
        <v>427</v>
      </c>
      <c r="DU1" s="5" t="s">
        <v>428</v>
      </c>
      <c r="DV1" s="5" t="s">
        <v>429</v>
      </c>
      <c r="DW1" s="5" t="s">
        <v>430</v>
      </c>
      <c r="DX1" s="5" t="s">
        <v>431</v>
      </c>
      <c r="DY1" s="5" t="s">
        <v>432</v>
      </c>
      <c r="DZ1" s="5" t="s">
        <v>433</v>
      </c>
      <c r="EA1" s="5" t="s">
        <v>434</v>
      </c>
      <c r="EB1" s="5" t="s">
        <v>435</v>
      </c>
      <c r="EC1" s="5" t="s">
        <v>436</v>
      </c>
      <c r="ED1" s="5" t="s">
        <v>437</v>
      </c>
      <c r="EE1" s="5" t="s">
        <v>438</v>
      </c>
      <c r="EF1" s="5" t="s">
        <v>439</v>
      </c>
      <c r="EG1" s="5" t="s">
        <v>440</v>
      </c>
      <c r="EH1" s="5" t="s">
        <v>441</v>
      </c>
      <c r="EI1" s="5" t="s">
        <v>442</v>
      </c>
      <c r="EJ1" s="5" t="s">
        <v>443</v>
      </c>
      <c r="EK1" s="5" t="s">
        <v>444</v>
      </c>
      <c r="EL1" s="5" t="s">
        <v>445</v>
      </c>
      <c r="EM1" s="5" t="s">
        <v>446</v>
      </c>
      <c r="EN1" s="5" t="s">
        <v>447</v>
      </c>
      <c r="EO1" s="5" t="s">
        <v>448</v>
      </c>
      <c r="EP1" s="5" t="s">
        <v>449</v>
      </c>
      <c r="EQ1" s="5" t="s">
        <v>450</v>
      </c>
      <c r="ER1" s="5" t="s">
        <v>451</v>
      </c>
      <c r="ES1" s="5" t="s">
        <v>452</v>
      </c>
      <c r="ET1" s="5" t="s">
        <v>453</v>
      </c>
      <c r="EU1" s="5" t="s">
        <v>454</v>
      </c>
      <c r="EV1" s="5" t="s">
        <v>455</v>
      </c>
      <c r="EW1" s="5" t="s">
        <v>456</v>
      </c>
      <c r="EX1" s="5" t="s">
        <v>457</v>
      </c>
      <c r="EY1" s="5" t="s">
        <v>458</v>
      </c>
      <c r="EZ1" s="5" t="s">
        <v>459</v>
      </c>
      <c r="FA1" s="5" t="s">
        <v>460</v>
      </c>
      <c r="FB1" s="5" t="s">
        <v>461</v>
      </c>
      <c r="FC1" s="5" t="s">
        <v>462</v>
      </c>
      <c r="FD1" s="5" t="s">
        <v>463</v>
      </c>
      <c r="FE1" s="5" t="s">
        <v>464</v>
      </c>
      <c r="FF1" s="5" t="s">
        <v>465</v>
      </c>
      <c r="FG1" s="5" t="s">
        <v>466</v>
      </c>
      <c r="FH1" s="5" t="s">
        <v>467</v>
      </c>
      <c r="FI1" s="5" t="s">
        <v>468</v>
      </c>
      <c r="FJ1" s="5" t="s">
        <v>469</v>
      </c>
      <c r="FK1" s="5" t="s">
        <v>470</v>
      </c>
      <c r="FL1" s="5" t="s">
        <v>471</v>
      </c>
      <c r="FM1" s="5" t="s">
        <v>472</v>
      </c>
      <c r="FN1" s="5" t="s">
        <v>473</v>
      </c>
      <c r="FO1" s="5" t="s">
        <v>474</v>
      </c>
      <c r="FP1" s="5" t="s">
        <v>475</v>
      </c>
      <c r="FQ1" s="5" t="s">
        <v>476</v>
      </c>
      <c r="FR1" s="5" t="s">
        <v>477</v>
      </c>
      <c r="FS1" s="5" t="s">
        <v>478</v>
      </c>
      <c r="FT1" s="5" t="s">
        <v>479</v>
      </c>
      <c r="FU1" s="5" t="s">
        <v>480</v>
      </c>
      <c r="FV1" s="5" t="s">
        <v>481</v>
      </c>
      <c r="FW1" s="5" t="s">
        <v>482</v>
      </c>
      <c r="FX1" s="5" t="s">
        <v>483</v>
      </c>
      <c r="FY1" s="5" t="s">
        <v>484</v>
      </c>
      <c r="FZ1" s="5" t="s">
        <v>485</v>
      </c>
      <c r="GA1" s="5" t="s">
        <v>486</v>
      </c>
      <c r="GB1" s="5" t="s">
        <v>487</v>
      </c>
      <c r="GC1" s="5" t="s">
        <v>488</v>
      </c>
      <c r="GD1" s="5" t="s">
        <v>489</v>
      </c>
      <c r="GE1" s="5" t="s">
        <v>490</v>
      </c>
      <c r="GF1" s="5" t="s">
        <v>491</v>
      </c>
      <c r="GG1" s="5" t="s">
        <v>492</v>
      </c>
      <c r="GH1" s="5" t="s">
        <v>493</v>
      </c>
      <c r="GI1" s="5" t="s">
        <v>494</v>
      </c>
      <c r="GJ1" s="5" t="s">
        <v>495</v>
      </c>
      <c r="GK1" s="5" t="s">
        <v>496</v>
      </c>
      <c r="GL1" s="5" t="s">
        <v>497</v>
      </c>
      <c r="GM1" s="5" t="s">
        <v>498</v>
      </c>
      <c r="GN1" s="5" t="s">
        <v>499</v>
      </c>
      <c r="GO1" s="5" t="s">
        <v>500</v>
      </c>
      <c r="GP1" s="5" t="s">
        <v>501</v>
      </c>
      <c r="GQ1" s="5" t="s">
        <v>502</v>
      </c>
      <c r="GR1" s="5" t="s">
        <v>503</v>
      </c>
      <c r="GS1" s="5" t="s">
        <v>504</v>
      </c>
      <c r="GT1" s="5" t="s">
        <v>505</v>
      </c>
      <c r="GU1" s="5" t="s">
        <v>506</v>
      </c>
      <c r="GV1" s="5" t="s">
        <v>507</v>
      </c>
      <c r="GW1" s="5" t="s">
        <v>508</v>
      </c>
      <c r="GX1" s="5" t="s">
        <v>509</v>
      </c>
      <c r="GY1" s="5" t="s">
        <v>510</v>
      </c>
      <c r="GZ1" s="5" t="s">
        <v>511</v>
      </c>
      <c r="HA1" s="5" t="s">
        <v>512</v>
      </c>
      <c r="HB1" s="5" t="s">
        <v>513</v>
      </c>
      <c r="HC1" s="5" t="s">
        <v>514</v>
      </c>
      <c r="HD1" s="5" t="s">
        <v>515</v>
      </c>
      <c r="HE1" s="5" t="s">
        <v>516</v>
      </c>
      <c r="HF1" s="5" t="s">
        <v>517</v>
      </c>
      <c r="HG1" s="5" t="s">
        <v>518</v>
      </c>
      <c r="HH1" s="5" t="s">
        <v>519</v>
      </c>
      <c r="HI1" s="5" t="s">
        <v>520</v>
      </c>
      <c r="HJ1" s="5" t="s">
        <v>521</v>
      </c>
      <c r="HK1" s="5" t="s">
        <v>522</v>
      </c>
      <c r="HL1" s="5" t="s">
        <v>523</v>
      </c>
      <c r="HM1" s="5" t="s">
        <v>524</v>
      </c>
      <c r="HN1" s="5" t="s">
        <v>525</v>
      </c>
      <c r="HO1" s="5" t="s">
        <v>526</v>
      </c>
      <c r="HP1" s="5" t="s">
        <v>527</v>
      </c>
      <c r="HQ1" s="5" t="s">
        <v>528</v>
      </c>
      <c r="HR1" s="5" t="s">
        <v>529</v>
      </c>
      <c r="HS1" s="5" t="s">
        <v>530</v>
      </c>
      <c r="HT1" s="5" t="s">
        <v>531</v>
      </c>
      <c r="HU1" s="5" t="s">
        <v>532</v>
      </c>
      <c r="HV1" s="5" t="s">
        <v>533</v>
      </c>
      <c r="HW1" s="5" t="s">
        <v>534</v>
      </c>
      <c r="HX1" s="5" t="s">
        <v>535</v>
      </c>
      <c r="HY1" s="5" t="s">
        <v>536</v>
      </c>
      <c r="HZ1" s="5" t="s">
        <v>537</v>
      </c>
      <c r="IA1" s="5" t="s">
        <v>538</v>
      </c>
      <c r="IB1" s="5" t="s">
        <v>539</v>
      </c>
      <c r="IC1" s="5" t="s">
        <v>540</v>
      </c>
      <c r="ID1" s="5" t="s">
        <v>541</v>
      </c>
      <c r="IE1" s="5" t="s">
        <v>542</v>
      </c>
      <c r="IF1" s="5" t="s">
        <v>543</v>
      </c>
      <c r="IG1" s="5" t="s">
        <v>544</v>
      </c>
      <c r="IH1" s="5" t="s">
        <v>545</v>
      </c>
      <c r="II1" s="5" t="s">
        <v>546</v>
      </c>
      <c r="IJ1" s="5" t="s">
        <v>547</v>
      </c>
      <c r="IK1" s="5" t="s">
        <v>548</v>
      </c>
      <c r="IL1" s="5" t="s">
        <v>549</v>
      </c>
      <c r="IM1" s="5" t="s">
        <v>550</v>
      </c>
      <c r="IN1" s="5" t="s">
        <v>551</v>
      </c>
      <c r="IO1" s="5" t="s">
        <v>552</v>
      </c>
      <c r="IP1" s="5" t="s">
        <v>553</v>
      </c>
      <c r="IQ1" s="5" t="s">
        <v>554</v>
      </c>
      <c r="IR1" s="5" t="s">
        <v>555</v>
      </c>
      <c r="IS1" s="5" t="s">
        <v>556</v>
      </c>
      <c r="IT1" s="5" t="s">
        <v>557</v>
      </c>
      <c r="IU1" s="5" t="s">
        <v>558</v>
      </c>
      <c r="IV1" s="5" t="s">
        <v>559</v>
      </c>
      <c r="IW1" s="5" t="s">
        <v>560</v>
      </c>
      <c r="IX1" s="5" t="s">
        <v>561</v>
      </c>
      <c r="IY1" s="5" t="s">
        <v>562</v>
      </c>
      <c r="IZ1" s="5" t="s">
        <v>563</v>
      </c>
      <c r="JA1" s="5" t="s">
        <v>564</v>
      </c>
      <c r="JB1" s="5" t="s">
        <v>565</v>
      </c>
      <c r="JC1" s="5" t="s">
        <v>566</v>
      </c>
      <c r="JD1" s="5" t="s">
        <v>567</v>
      </c>
      <c r="JE1" s="5" t="s">
        <v>568</v>
      </c>
      <c r="JF1" s="5" t="s">
        <v>569</v>
      </c>
      <c r="JG1" s="5" t="s">
        <v>570</v>
      </c>
      <c r="JH1" s="5" t="s">
        <v>571</v>
      </c>
      <c r="JI1" s="5" t="s">
        <v>572</v>
      </c>
      <c r="JJ1" s="5" t="s">
        <v>573</v>
      </c>
      <c r="JK1" s="5" t="s">
        <v>574</v>
      </c>
      <c r="JL1" s="5" t="s">
        <v>575</v>
      </c>
      <c r="JM1" s="5" t="s">
        <v>576</v>
      </c>
      <c r="JN1" s="5" t="s">
        <v>577</v>
      </c>
      <c r="JO1" s="5" t="s">
        <v>578</v>
      </c>
      <c r="JP1" s="5" t="s">
        <v>579</v>
      </c>
      <c r="JQ1" s="5" t="s">
        <v>580</v>
      </c>
      <c r="JR1" s="5" t="s">
        <v>581</v>
      </c>
      <c r="JS1" s="5" t="s">
        <v>582</v>
      </c>
      <c r="JT1" s="5" t="s">
        <v>583</v>
      </c>
      <c r="JU1" s="5" t="s">
        <v>584</v>
      </c>
      <c r="JV1" s="5" t="s">
        <v>585</v>
      </c>
      <c r="JW1" s="5" t="s">
        <v>586</v>
      </c>
      <c r="JX1" s="5" t="s">
        <v>587</v>
      </c>
      <c r="JY1" s="5" t="s">
        <v>588</v>
      </c>
      <c r="JZ1" s="5" t="s">
        <v>589</v>
      </c>
      <c r="KA1" s="5" t="s">
        <v>590</v>
      </c>
      <c r="KB1" s="5" t="s">
        <v>591</v>
      </c>
      <c r="KC1" s="5" t="s">
        <v>592</v>
      </c>
      <c r="KD1" s="5" t="s">
        <v>593</v>
      </c>
      <c r="KE1" s="5" t="s">
        <v>594</v>
      </c>
      <c r="KF1" s="5" t="s">
        <v>595</v>
      </c>
      <c r="KG1" s="5" t="s">
        <v>596</v>
      </c>
      <c r="KH1" s="5" t="s">
        <v>597</v>
      </c>
      <c r="KI1" s="5" t="s">
        <v>598</v>
      </c>
      <c r="KJ1" s="5" t="s">
        <v>599</v>
      </c>
      <c r="KK1" s="5" t="s">
        <v>600</v>
      </c>
      <c r="KL1" s="5" t="s">
        <v>601</v>
      </c>
      <c r="KM1" s="5" t="s">
        <v>602</v>
      </c>
      <c r="KN1" s="5" t="s">
        <v>603</v>
      </c>
      <c r="KO1" s="5" t="s">
        <v>604</v>
      </c>
      <c r="KP1" s="5" t="s">
        <v>605</v>
      </c>
      <c r="KQ1" s="5" t="s">
        <v>606</v>
      </c>
      <c r="KR1" s="5" t="s">
        <v>607</v>
      </c>
      <c r="KS1" s="5" t="s">
        <v>608</v>
      </c>
      <c r="KT1" s="5" t="s">
        <v>609</v>
      </c>
      <c r="KU1" s="5" t="s">
        <v>610</v>
      </c>
      <c r="KV1" s="5" t="s">
        <v>611</v>
      </c>
      <c r="KW1" s="5" t="s">
        <v>612</v>
      </c>
      <c r="KX1" s="5" t="s">
        <v>613</v>
      </c>
      <c r="KY1" s="5" t="s">
        <v>614</v>
      </c>
      <c r="KZ1" s="5" t="s">
        <v>615</v>
      </c>
      <c r="LA1" s="5" t="s">
        <v>616</v>
      </c>
      <c r="LB1" s="5" t="s">
        <v>617</v>
      </c>
      <c r="LC1" s="5" t="s">
        <v>618</v>
      </c>
      <c r="LD1" s="5" t="s">
        <v>619</v>
      </c>
      <c r="LE1" s="5" t="s">
        <v>620</v>
      </c>
      <c r="LF1" s="5" t="s">
        <v>621</v>
      </c>
      <c r="LG1" s="5" t="s">
        <v>622</v>
      </c>
      <c r="LH1" s="5" t="s">
        <v>623</v>
      </c>
      <c r="LI1" s="5" t="s">
        <v>624</v>
      </c>
      <c r="LJ1" s="5" t="s">
        <v>625</v>
      </c>
      <c r="LK1" s="5" t="s">
        <v>626</v>
      </c>
      <c r="LL1" s="5" t="s">
        <v>627</v>
      </c>
      <c r="LM1" s="5" t="s">
        <v>628</v>
      </c>
      <c r="LN1" s="5" t="s">
        <v>629</v>
      </c>
      <c r="LO1" s="5" t="s">
        <v>630</v>
      </c>
      <c r="LP1" s="5" t="s">
        <v>631</v>
      </c>
      <c r="LQ1" s="5" t="s">
        <v>632</v>
      </c>
      <c r="LR1" s="5" t="s">
        <v>633</v>
      </c>
      <c r="LS1" s="5" t="s">
        <v>634</v>
      </c>
      <c r="LT1" s="5" t="s">
        <v>635</v>
      </c>
      <c r="LU1" s="5" t="s">
        <v>636</v>
      </c>
      <c r="LV1" s="5" t="s">
        <v>637</v>
      </c>
      <c r="LW1" s="5" t="s">
        <v>638</v>
      </c>
      <c r="LX1" s="5" t="s">
        <v>639</v>
      </c>
      <c r="LY1" s="5" t="s">
        <v>640</v>
      </c>
      <c r="LZ1" s="5" t="s">
        <v>641</v>
      </c>
      <c r="MA1" s="5" t="s">
        <v>642</v>
      </c>
      <c r="MB1" s="5" t="s">
        <v>643</v>
      </c>
      <c r="MC1" s="5" t="s">
        <v>644</v>
      </c>
      <c r="MD1" s="5" t="s">
        <v>645</v>
      </c>
      <c r="ME1" s="5" t="s">
        <v>646</v>
      </c>
      <c r="MF1" s="5" t="s">
        <v>647</v>
      </c>
      <c r="MG1" s="5" t="s">
        <v>648</v>
      </c>
      <c r="MH1" s="5" t="s">
        <v>649</v>
      </c>
      <c r="MI1" s="5" t="s">
        <v>650</v>
      </c>
      <c r="MJ1" s="5" t="s">
        <v>651</v>
      </c>
      <c r="MK1" s="5" t="s">
        <v>652</v>
      </c>
      <c r="ML1" s="5" t="s">
        <v>653</v>
      </c>
      <c r="MM1" s="5" t="s">
        <v>654</v>
      </c>
      <c r="MN1" s="5" t="s">
        <v>655</v>
      </c>
      <c r="MO1" s="5" t="s">
        <v>656</v>
      </c>
      <c r="MP1" s="5" t="s">
        <v>657</v>
      </c>
      <c r="MQ1" s="5" t="s">
        <v>658</v>
      </c>
      <c r="MR1" s="5" t="s">
        <v>659</v>
      </c>
      <c r="MS1" s="5" t="s">
        <v>660</v>
      </c>
      <c r="MT1" s="5" t="s">
        <v>661</v>
      </c>
      <c r="MU1" s="5" t="s">
        <v>662</v>
      </c>
      <c r="MV1" s="5" t="s">
        <v>663</v>
      </c>
      <c r="MW1" s="5" t="s">
        <v>664</v>
      </c>
      <c r="MX1" s="5" t="s">
        <v>665</v>
      </c>
      <c r="MY1" s="5" t="s">
        <v>666</v>
      </c>
      <c r="MZ1" s="5" t="s">
        <v>667</v>
      </c>
      <c r="NA1" s="5" t="s">
        <v>668</v>
      </c>
      <c r="NB1" s="5" t="s">
        <v>669</v>
      </c>
      <c r="NC1" s="5" t="s">
        <v>670</v>
      </c>
      <c r="ND1" s="5" t="s">
        <v>671</v>
      </c>
      <c r="NE1" s="5" t="s">
        <v>672</v>
      </c>
      <c r="NF1" s="5" t="s">
        <v>673</v>
      </c>
      <c r="NG1" s="5" t="s">
        <v>674</v>
      </c>
      <c r="NH1" s="5" t="s">
        <v>675</v>
      </c>
      <c r="NI1" s="5" t="s">
        <v>676</v>
      </c>
      <c r="NJ1" s="5" t="s">
        <v>677</v>
      </c>
      <c r="NK1" s="5" t="s">
        <v>678</v>
      </c>
      <c r="NL1" s="5" t="s">
        <v>679</v>
      </c>
      <c r="NM1" s="5" t="s">
        <v>680</v>
      </c>
      <c r="NN1" s="5" t="s">
        <v>681</v>
      </c>
      <c r="NO1" s="5" t="s">
        <v>682</v>
      </c>
      <c r="NP1" s="5" t="s">
        <v>683</v>
      </c>
      <c r="NQ1" s="5" t="s">
        <v>684</v>
      </c>
      <c r="NR1" s="5" t="s">
        <v>685</v>
      </c>
      <c r="NS1" s="5" t="s">
        <v>686</v>
      </c>
      <c r="NT1" s="5" t="s">
        <v>687</v>
      </c>
      <c r="NU1" s="5" t="s">
        <v>688</v>
      </c>
      <c r="NV1" s="5" t="s">
        <v>689</v>
      </c>
      <c r="NW1" s="5" t="s">
        <v>690</v>
      </c>
      <c r="NX1" s="5" t="s">
        <v>691</v>
      </c>
      <c r="NY1" s="5" t="s">
        <v>692</v>
      </c>
      <c r="NZ1" s="5" t="s">
        <v>693</v>
      </c>
      <c r="OA1" s="5" t="s">
        <v>694</v>
      </c>
      <c r="OB1" s="5" t="s">
        <v>695</v>
      </c>
      <c r="OC1" s="5" t="s">
        <v>696</v>
      </c>
      <c r="OD1" s="5" t="s">
        <v>697</v>
      </c>
      <c r="OE1" s="5" t="s">
        <v>698</v>
      </c>
      <c r="OF1" s="5" t="s">
        <v>699</v>
      </c>
      <c r="OG1" s="5" t="s">
        <v>700</v>
      </c>
      <c r="OH1" s="5" t="s">
        <v>701</v>
      </c>
      <c r="OI1" s="5" t="s">
        <v>702</v>
      </c>
      <c r="OJ1" s="5" t="s">
        <v>703</v>
      </c>
      <c r="OK1" s="5" t="s">
        <v>704</v>
      </c>
      <c r="OL1" s="5" t="s">
        <v>705</v>
      </c>
      <c r="OM1" s="5" t="s">
        <v>706</v>
      </c>
      <c r="ON1" s="5" t="s">
        <v>707</v>
      </c>
      <c r="OO1" s="5" t="s">
        <v>708</v>
      </c>
      <c r="OP1" s="5" t="s">
        <v>709</v>
      </c>
      <c r="OQ1" s="5" t="s">
        <v>710</v>
      </c>
      <c r="OR1" s="5" t="s">
        <v>711</v>
      </c>
      <c r="OS1" s="5" t="s">
        <v>712</v>
      </c>
      <c r="OT1" s="5" t="s">
        <v>713</v>
      </c>
      <c r="OU1" s="5" t="s">
        <v>714</v>
      </c>
      <c r="OV1" s="5" t="s">
        <v>715</v>
      </c>
      <c r="OW1" s="5" t="s">
        <v>716</v>
      </c>
      <c r="OX1" s="5" t="s">
        <v>717</v>
      </c>
      <c r="OY1" s="5" t="s">
        <v>718</v>
      </c>
      <c r="OZ1" s="5" t="s">
        <v>719</v>
      </c>
      <c r="PA1" s="5" t="s">
        <v>720</v>
      </c>
      <c r="PB1" s="5" t="s">
        <v>721</v>
      </c>
      <c r="PC1" s="5" t="s">
        <v>722</v>
      </c>
      <c r="PD1" s="5" t="s">
        <v>723</v>
      </c>
      <c r="PE1" s="5" t="s">
        <v>724</v>
      </c>
      <c r="PF1" s="5" t="s">
        <v>725</v>
      </c>
      <c r="PG1" s="5" t="s">
        <v>726</v>
      </c>
      <c r="PH1" s="5" t="s">
        <v>727</v>
      </c>
      <c r="PI1" s="5" t="s">
        <v>728</v>
      </c>
      <c r="PJ1" s="5" t="s">
        <v>729</v>
      </c>
      <c r="PK1" s="5" t="s">
        <v>730</v>
      </c>
      <c r="PL1" s="5" t="s">
        <v>731</v>
      </c>
      <c r="PM1" s="5" t="s">
        <v>732</v>
      </c>
      <c r="PN1" s="5" t="s">
        <v>733</v>
      </c>
      <c r="PO1" s="5" t="s">
        <v>734</v>
      </c>
      <c r="PP1" s="5" t="s">
        <v>735</v>
      </c>
      <c r="PQ1" s="5" t="s">
        <v>736</v>
      </c>
      <c r="PR1" s="5" t="s">
        <v>737</v>
      </c>
      <c r="PS1" s="5" t="s">
        <v>738</v>
      </c>
      <c r="PT1" s="5" t="s">
        <v>739</v>
      </c>
      <c r="PU1" s="5" t="s">
        <v>740</v>
      </c>
      <c r="PV1" s="5" t="s">
        <v>741</v>
      </c>
      <c r="PW1" s="5" t="s">
        <v>742</v>
      </c>
      <c r="PX1" s="5" t="s">
        <v>743</v>
      </c>
      <c r="PY1" s="5" t="s">
        <v>744</v>
      </c>
      <c r="PZ1" s="5" t="s">
        <v>745</v>
      </c>
      <c r="QA1" s="5" t="s">
        <v>746</v>
      </c>
      <c r="QB1" s="5" t="s">
        <v>747</v>
      </c>
      <c r="QC1" s="5" t="s">
        <v>748</v>
      </c>
      <c r="QD1" s="5" t="s">
        <v>749</v>
      </c>
      <c r="QE1" s="5" t="s">
        <v>750</v>
      </c>
      <c r="QF1" s="5" t="s">
        <v>751</v>
      </c>
      <c r="QG1" s="5" t="s">
        <v>752</v>
      </c>
      <c r="QH1" s="5" t="s">
        <v>753</v>
      </c>
      <c r="QI1" s="5" t="s">
        <v>754</v>
      </c>
      <c r="QJ1" s="5" t="s">
        <v>755</v>
      </c>
      <c r="QK1" s="5" t="s">
        <v>756</v>
      </c>
      <c r="QL1" s="5" t="s">
        <v>757</v>
      </c>
      <c r="QM1" s="5" t="s">
        <v>758</v>
      </c>
      <c r="QN1" s="5" t="s">
        <v>759</v>
      </c>
      <c r="QO1" s="5" t="s">
        <v>760</v>
      </c>
      <c r="QP1" s="5" t="s">
        <v>761</v>
      </c>
      <c r="QQ1" s="5" t="s">
        <v>762</v>
      </c>
      <c r="QR1" s="5" t="s">
        <v>763</v>
      </c>
      <c r="QS1" s="5" t="s">
        <v>764</v>
      </c>
      <c r="QT1" s="5" t="s">
        <v>765</v>
      </c>
      <c r="QU1" s="5" t="s">
        <v>766</v>
      </c>
      <c r="QV1" s="5" t="s">
        <v>767</v>
      </c>
      <c r="QW1" s="5" t="s">
        <v>768</v>
      </c>
      <c r="QX1" s="5" t="s">
        <v>769</v>
      </c>
      <c r="QY1" s="5" t="s">
        <v>770</v>
      </c>
      <c r="QZ1" s="5" t="s">
        <v>771</v>
      </c>
      <c r="RA1" s="5" t="s">
        <v>772</v>
      </c>
      <c r="RB1" s="5" t="s">
        <v>773</v>
      </c>
      <c r="RC1" s="5" t="s">
        <v>774</v>
      </c>
      <c r="RD1" s="5" t="s">
        <v>775</v>
      </c>
      <c r="RE1" s="5" t="s">
        <v>776</v>
      </c>
      <c r="RF1" s="5" t="s">
        <v>777</v>
      </c>
      <c r="RG1" s="5" t="s">
        <v>778</v>
      </c>
      <c r="RH1" s="5" t="s">
        <v>779</v>
      </c>
      <c r="RI1" s="5" t="s">
        <v>780</v>
      </c>
      <c r="RJ1" s="5" t="s">
        <v>781</v>
      </c>
      <c r="RK1" s="5" t="s">
        <v>782</v>
      </c>
      <c r="RL1" s="5" t="s">
        <v>783</v>
      </c>
      <c r="RM1" s="5" t="s">
        <v>784</v>
      </c>
      <c r="RN1" s="5" t="s">
        <v>785</v>
      </c>
      <c r="RO1" s="5" t="s">
        <v>786</v>
      </c>
      <c r="RP1" s="5" t="s">
        <v>787</v>
      </c>
      <c r="RQ1" s="5" t="s">
        <v>788</v>
      </c>
      <c r="RR1" s="5" t="s">
        <v>789</v>
      </c>
      <c r="RS1" s="5" t="s">
        <v>790</v>
      </c>
      <c r="RT1" s="5" t="s">
        <v>791</v>
      </c>
      <c r="RU1" s="5" t="s">
        <v>792</v>
      </c>
      <c r="RV1" s="5" t="s">
        <v>793</v>
      </c>
      <c r="RW1" s="5" t="s">
        <v>794</v>
      </c>
      <c r="RX1" s="5" t="s">
        <v>795</v>
      </c>
      <c r="RY1" s="5" t="s">
        <v>796</v>
      </c>
      <c r="RZ1" s="5" t="s">
        <v>797</v>
      </c>
      <c r="SA1" s="5" t="s">
        <v>798</v>
      </c>
      <c r="SB1" s="5" t="s">
        <v>799</v>
      </c>
      <c r="SC1" s="5" t="s">
        <v>800</v>
      </c>
      <c r="SD1" s="5" t="s">
        <v>801</v>
      </c>
      <c r="SE1" s="5" t="s">
        <v>802</v>
      </c>
      <c r="SF1" s="5" t="s">
        <v>803</v>
      </c>
      <c r="SG1" s="5" t="s">
        <v>804</v>
      </c>
      <c r="SH1" s="5" t="s">
        <v>805</v>
      </c>
      <c r="SI1" s="5" t="s">
        <v>806</v>
      </c>
      <c r="SJ1" s="5" t="s">
        <v>807</v>
      </c>
      <c r="SK1" s="5" t="s">
        <v>808</v>
      </c>
      <c r="SL1" s="5" t="s">
        <v>809</v>
      </c>
      <c r="SM1" s="5" t="s">
        <v>810</v>
      </c>
      <c r="SN1" s="5" t="s">
        <v>811</v>
      </c>
      <c r="SO1" s="5" t="s">
        <v>812</v>
      </c>
      <c r="SP1" s="5" t="s">
        <v>813</v>
      </c>
      <c r="SQ1" s="5" t="s">
        <v>814</v>
      </c>
      <c r="SR1" s="5" t="s">
        <v>815</v>
      </c>
      <c r="SS1" s="5" t="s">
        <v>816</v>
      </c>
      <c r="ST1" s="5" t="s">
        <v>817</v>
      </c>
      <c r="SU1" s="5" t="s">
        <v>818</v>
      </c>
      <c r="SV1" s="5" t="s">
        <v>819</v>
      </c>
      <c r="SW1" s="5" t="s">
        <v>820</v>
      </c>
      <c r="SX1" s="5" t="s">
        <v>821</v>
      </c>
      <c r="SY1" s="5" t="s">
        <v>822</v>
      </c>
      <c r="SZ1" s="5" t="s">
        <v>823</v>
      </c>
      <c r="TA1" s="5" t="s">
        <v>824</v>
      </c>
      <c r="TB1" s="5" t="s">
        <v>825</v>
      </c>
      <c r="TC1" s="5" t="s">
        <v>826</v>
      </c>
      <c r="TD1" s="5" t="s">
        <v>827</v>
      </c>
      <c r="TE1" s="5" t="s">
        <v>828</v>
      </c>
      <c r="TF1" s="5" t="s">
        <v>829</v>
      </c>
      <c r="TG1" s="5" t="s">
        <v>830</v>
      </c>
      <c r="TH1" s="5" t="s">
        <v>831</v>
      </c>
      <c r="TI1" s="5" t="s">
        <v>832</v>
      </c>
      <c r="TJ1" s="5" t="s">
        <v>833</v>
      </c>
      <c r="TK1" s="5" t="s">
        <v>834</v>
      </c>
      <c r="TL1" s="5" t="s">
        <v>835</v>
      </c>
      <c r="TM1" s="5" t="s">
        <v>836</v>
      </c>
      <c r="TN1" s="5" t="s">
        <v>837</v>
      </c>
      <c r="TO1" s="5" t="s">
        <v>838</v>
      </c>
      <c r="TP1" s="5" t="s">
        <v>839</v>
      </c>
      <c r="TQ1" s="5" t="s">
        <v>840</v>
      </c>
      <c r="TR1" s="5" t="s">
        <v>841</v>
      </c>
      <c r="TS1" s="5" t="s">
        <v>842</v>
      </c>
      <c r="TT1" s="5" t="s">
        <v>843</v>
      </c>
      <c r="TU1" s="5" t="s">
        <v>844</v>
      </c>
      <c r="TV1" s="5" t="s">
        <v>845</v>
      </c>
      <c r="TW1" s="5" t="s">
        <v>846</v>
      </c>
      <c r="TX1" s="5" t="s">
        <v>847</v>
      </c>
      <c r="TY1" s="5" t="s">
        <v>848</v>
      </c>
      <c r="TZ1" s="5" t="s">
        <v>849</v>
      </c>
      <c r="UA1" s="5" t="s">
        <v>850</v>
      </c>
      <c r="UB1" s="5" t="s">
        <v>851</v>
      </c>
      <c r="UC1" s="5" t="s">
        <v>852</v>
      </c>
      <c r="UD1" s="5" t="s">
        <v>853</v>
      </c>
      <c r="UE1" s="5" t="s">
        <v>854</v>
      </c>
      <c r="UF1" s="5" t="s">
        <v>855</v>
      </c>
      <c r="UG1" s="5" t="s">
        <v>856</v>
      </c>
      <c r="UH1" s="5" t="s">
        <v>857</v>
      </c>
      <c r="UI1" s="5" t="s">
        <v>858</v>
      </c>
      <c r="UJ1" s="5" t="s">
        <v>859</v>
      </c>
      <c r="UK1" s="5" t="s">
        <v>860</v>
      </c>
      <c r="UL1" s="5" t="s">
        <v>861</v>
      </c>
      <c r="UM1" s="5" t="s">
        <v>862</v>
      </c>
      <c r="UN1" s="5" t="s">
        <v>863</v>
      </c>
      <c r="UO1" s="5" t="s">
        <v>864</v>
      </c>
      <c r="UP1" s="5" t="s">
        <v>865</v>
      </c>
      <c r="UQ1" s="5" t="s">
        <v>866</v>
      </c>
      <c r="UR1" s="5" t="s">
        <v>867</v>
      </c>
      <c r="US1" s="5" t="s">
        <v>868</v>
      </c>
      <c r="UT1" s="5" t="s">
        <v>869</v>
      </c>
      <c r="UU1" s="5" t="s">
        <v>870</v>
      </c>
      <c r="UV1" s="5" t="s">
        <v>871</v>
      </c>
      <c r="UW1" s="5" t="s">
        <v>872</v>
      </c>
      <c r="UX1" s="5" t="s">
        <v>873</v>
      </c>
      <c r="UY1" s="5" t="s">
        <v>874</v>
      </c>
      <c r="UZ1" s="5" t="s">
        <v>875</v>
      </c>
      <c r="VA1" s="5" t="s">
        <v>876</v>
      </c>
      <c r="VB1" s="5" t="s">
        <v>877</v>
      </c>
      <c r="VC1" s="5" t="s">
        <v>878</v>
      </c>
      <c r="VD1" s="5" t="s">
        <v>879</v>
      </c>
      <c r="VE1" s="5" t="s">
        <v>880</v>
      </c>
      <c r="VF1" s="5" t="s">
        <v>881</v>
      </c>
      <c r="VG1" s="5" t="s">
        <v>882</v>
      </c>
      <c r="VH1" s="5" t="s">
        <v>883</v>
      </c>
      <c r="VI1" s="5" t="s">
        <v>884</v>
      </c>
      <c r="VJ1" s="5" t="s">
        <v>885</v>
      </c>
      <c r="VK1" s="5" t="s">
        <v>886</v>
      </c>
      <c r="VL1" s="5" t="s">
        <v>887</v>
      </c>
      <c r="VM1" s="5" t="s">
        <v>888</v>
      </c>
      <c r="VN1" s="5" t="s">
        <v>889</v>
      </c>
      <c r="VO1" s="5" t="s">
        <v>890</v>
      </c>
      <c r="VP1" s="5" t="s">
        <v>891</v>
      </c>
      <c r="VQ1" s="5" t="s">
        <v>892</v>
      </c>
      <c r="VR1" s="5" t="s">
        <v>893</v>
      </c>
      <c r="VS1" s="5" t="s">
        <v>894</v>
      </c>
      <c r="VT1" s="5" t="s">
        <v>895</v>
      </c>
      <c r="VU1" s="5" t="s">
        <v>896</v>
      </c>
      <c r="VV1" s="5" t="s">
        <v>897</v>
      </c>
      <c r="VW1" s="5" t="s">
        <v>898</v>
      </c>
      <c r="VX1" s="5" t="s">
        <v>899</v>
      </c>
      <c r="VY1" s="5" t="s">
        <v>900</v>
      </c>
      <c r="VZ1" s="5" t="s">
        <v>901</v>
      </c>
      <c r="WA1" s="5" t="s">
        <v>902</v>
      </c>
      <c r="WB1" s="5" t="s">
        <v>903</v>
      </c>
      <c r="WC1" s="5" t="s">
        <v>904</v>
      </c>
      <c r="WD1" s="5" t="s">
        <v>905</v>
      </c>
      <c r="WE1" s="5" t="s">
        <v>906</v>
      </c>
      <c r="WF1" s="5" t="s">
        <v>907</v>
      </c>
      <c r="WG1" s="5" t="s">
        <v>908</v>
      </c>
      <c r="WH1" s="5" t="s">
        <v>909</v>
      </c>
      <c r="WI1" s="5" t="s">
        <v>910</v>
      </c>
      <c r="WJ1" s="5" t="s">
        <v>911</v>
      </c>
      <c r="WK1" s="5" t="s">
        <v>912</v>
      </c>
      <c r="WL1" s="5" t="s">
        <v>913</v>
      </c>
      <c r="WM1" s="5" t="s">
        <v>914</v>
      </c>
      <c r="WN1" s="5" t="s">
        <v>915</v>
      </c>
      <c r="WO1" s="5" t="s">
        <v>916</v>
      </c>
      <c r="WP1" s="5" t="s">
        <v>917</v>
      </c>
      <c r="WQ1" s="5" t="s">
        <v>918</v>
      </c>
      <c r="WR1" s="5" t="s">
        <v>919</v>
      </c>
      <c r="WS1" s="5" t="s">
        <v>920</v>
      </c>
      <c r="WT1" s="5" t="s">
        <v>921</v>
      </c>
      <c r="WU1" s="5" t="s">
        <v>922</v>
      </c>
      <c r="WV1" s="5" t="s">
        <v>923</v>
      </c>
      <c r="WW1" s="5" t="s">
        <v>924</v>
      </c>
      <c r="WX1" s="5" t="s">
        <v>925</v>
      </c>
      <c r="WY1" s="5" t="s">
        <v>926</v>
      </c>
      <c r="WZ1" s="5" t="s">
        <v>927</v>
      </c>
      <c r="XA1" s="5" t="s">
        <v>928</v>
      </c>
      <c r="XB1" s="5" t="s">
        <v>929</v>
      </c>
      <c r="XC1" s="5" t="s">
        <v>930</v>
      </c>
      <c r="XD1" s="5" t="s">
        <v>931</v>
      </c>
      <c r="XE1" s="5" t="s">
        <v>932</v>
      </c>
      <c r="XF1" s="5" t="s">
        <v>933</v>
      </c>
      <c r="XG1" s="5" t="s">
        <v>934</v>
      </c>
      <c r="XH1" s="5" t="s">
        <v>935</v>
      </c>
      <c r="XI1" s="5" t="s">
        <v>936</v>
      </c>
      <c r="XJ1" s="5" t="s">
        <v>937</v>
      </c>
      <c r="XK1" s="5" t="s">
        <v>938</v>
      </c>
      <c r="XL1" s="5" t="s">
        <v>939</v>
      </c>
      <c r="XM1" s="5" t="s">
        <v>940</v>
      </c>
      <c r="XN1" s="5" t="s">
        <v>941</v>
      </c>
      <c r="XO1" s="5" t="s">
        <v>942</v>
      </c>
      <c r="XP1" s="5" t="s">
        <v>943</v>
      </c>
      <c r="XQ1" s="5" t="s">
        <v>944</v>
      </c>
      <c r="XR1" s="5" t="s">
        <v>945</v>
      </c>
      <c r="XS1" s="5" t="s">
        <v>946</v>
      </c>
      <c r="XT1" s="5" t="s">
        <v>947</v>
      </c>
      <c r="XU1" s="5" t="s">
        <v>948</v>
      </c>
      <c r="XV1" s="5" t="s">
        <v>949</v>
      </c>
      <c r="XW1" s="5" t="s">
        <v>950</v>
      </c>
      <c r="XX1" s="5" t="s">
        <v>951</v>
      </c>
      <c r="XY1" s="5" t="s">
        <v>952</v>
      </c>
      <c r="XZ1" s="5" t="s">
        <v>953</v>
      </c>
      <c r="YA1" s="5" t="s">
        <v>954</v>
      </c>
      <c r="YB1" s="5" t="s">
        <v>955</v>
      </c>
      <c r="YC1" s="5" t="s">
        <v>956</v>
      </c>
      <c r="YD1" s="5" t="s">
        <v>957</v>
      </c>
      <c r="YE1" s="5" t="s">
        <v>958</v>
      </c>
      <c r="YF1" s="5" t="s">
        <v>959</v>
      </c>
      <c r="YG1" s="5" t="s">
        <v>960</v>
      </c>
      <c r="YH1" s="5" t="s">
        <v>961</v>
      </c>
      <c r="YI1" s="5" t="s">
        <v>962</v>
      </c>
      <c r="YJ1" s="5" t="s">
        <v>963</v>
      </c>
      <c r="YK1" s="5" t="s">
        <v>964</v>
      </c>
      <c r="YL1" s="5" t="s">
        <v>965</v>
      </c>
      <c r="YM1" s="5" t="s">
        <v>966</v>
      </c>
      <c r="YN1" s="5" t="s">
        <v>967</v>
      </c>
      <c r="YO1" s="5" t="s">
        <v>968</v>
      </c>
      <c r="YP1" s="5" t="s">
        <v>969</v>
      </c>
      <c r="YQ1" s="5" t="s">
        <v>970</v>
      </c>
      <c r="YR1" s="5" t="s">
        <v>971</v>
      </c>
      <c r="YS1" s="5" t="s">
        <v>972</v>
      </c>
      <c r="YT1" s="5" t="s">
        <v>973</v>
      </c>
      <c r="YU1" s="5" t="s">
        <v>974</v>
      </c>
      <c r="YV1" s="5" t="s">
        <v>975</v>
      </c>
      <c r="YW1" s="5" t="s">
        <v>976</v>
      </c>
      <c r="YX1" s="5" t="s">
        <v>977</v>
      </c>
      <c r="YY1" s="5" t="s">
        <v>978</v>
      </c>
      <c r="YZ1" s="5" t="s">
        <v>979</v>
      </c>
      <c r="ZA1" s="5" t="s">
        <v>980</v>
      </c>
      <c r="ZB1" s="5" t="s">
        <v>981</v>
      </c>
      <c r="ZC1" s="5" t="s">
        <v>982</v>
      </c>
      <c r="ZD1" s="5" t="s">
        <v>983</v>
      </c>
      <c r="ZE1" s="5" t="s">
        <v>984</v>
      </c>
      <c r="ZF1" s="5" t="s">
        <v>985</v>
      </c>
      <c r="ZG1" s="5" t="s">
        <v>986</v>
      </c>
      <c r="ZH1" s="5" t="s">
        <v>987</v>
      </c>
      <c r="ZI1" s="5" t="s">
        <v>988</v>
      </c>
      <c r="ZJ1" s="5" t="s">
        <v>989</v>
      </c>
      <c r="ZK1" s="5" t="s">
        <v>990</v>
      </c>
      <c r="ZL1" s="5" t="s">
        <v>991</v>
      </c>
      <c r="ZM1" s="5" t="s">
        <v>992</v>
      </c>
      <c r="ZN1" s="5" t="s">
        <v>993</v>
      </c>
      <c r="ZO1" s="5" t="s">
        <v>994</v>
      </c>
      <c r="ZP1" s="5" t="s">
        <v>995</v>
      </c>
      <c r="ZQ1" s="5" t="s">
        <v>996</v>
      </c>
      <c r="ZR1" s="5" t="s">
        <v>997</v>
      </c>
      <c r="ZS1" s="5" t="s">
        <v>998</v>
      </c>
      <c r="ZT1" s="5" t="s">
        <v>999</v>
      </c>
      <c r="ZU1" s="5" t="s">
        <v>1000</v>
      </c>
      <c r="ZV1" s="5" t="s">
        <v>1001</v>
      </c>
      <c r="ZW1" s="5" t="s">
        <v>1002</v>
      </c>
      <c r="ZX1" s="5" t="s">
        <v>1003</v>
      </c>
      <c r="ZY1" s="5" t="s">
        <v>1004</v>
      </c>
      <c r="ZZ1" s="5" t="s">
        <v>1005</v>
      </c>
      <c r="AAA1" s="5" t="s">
        <v>1006</v>
      </c>
      <c r="AAB1" s="5" t="s">
        <v>1007</v>
      </c>
      <c r="AAC1" s="5" t="s">
        <v>1008</v>
      </c>
      <c r="AAD1" s="5" t="s">
        <v>1009</v>
      </c>
      <c r="AAE1" s="5" t="s">
        <v>1010</v>
      </c>
      <c r="AAF1" s="5" t="s">
        <v>1011</v>
      </c>
      <c r="AAG1" s="5" t="s">
        <v>1012</v>
      </c>
      <c r="AAH1" s="5" t="s">
        <v>1013</v>
      </c>
      <c r="AAI1" s="5" t="s">
        <v>1014</v>
      </c>
      <c r="AAJ1" s="5" t="s">
        <v>1015</v>
      </c>
      <c r="AAK1" s="5" t="s">
        <v>1016</v>
      </c>
      <c r="AAL1" s="5" t="s">
        <v>1017</v>
      </c>
      <c r="AAM1" s="5" t="s">
        <v>1018</v>
      </c>
      <c r="AAN1" s="5" t="s">
        <v>1019</v>
      </c>
      <c r="AAO1" s="5" t="s">
        <v>1020</v>
      </c>
      <c r="AAP1" s="5" t="s">
        <v>1021</v>
      </c>
      <c r="AAQ1" s="5" t="s">
        <v>1022</v>
      </c>
      <c r="AAR1" s="5" t="s">
        <v>1023</v>
      </c>
      <c r="AAS1" s="5" t="s">
        <v>1024</v>
      </c>
      <c r="AAT1" s="5" t="s">
        <v>1025</v>
      </c>
      <c r="AAU1" s="5" t="s">
        <v>1026</v>
      </c>
      <c r="AAV1" s="5" t="s">
        <v>1027</v>
      </c>
      <c r="AAW1" s="5" t="s">
        <v>1028</v>
      </c>
      <c r="AAX1" s="5" t="s">
        <v>1029</v>
      </c>
      <c r="AAY1" s="5" t="s">
        <v>1030</v>
      </c>
      <c r="AAZ1" s="5" t="s">
        <v>1031</v>
      </c>
      <c r="ABA1" s="5" t="s">
        <v>1032</v>
      </c>
      <c r="ABB1" s="5" t="s">
        <v>1033</v>
      </c>
      <c r="ABC1" s="5" t="s">
        <v>1034</v>
      </c>
      <c r="ABD1" s="5" t="s">
        <v>1035</v>
      </c>
      <c r="ABE1" s="5" t="s">
        <v>1036</v>
      </c>
      <c r="ABF1" s="5" t="s">
        <v>1037</v>
      </c>
      <c r="ABG1" s="5" t="s">
        <v>1038</v>
      </c>
      <c r="ABH1" s="5" t="s">
        <v>1039</v>
      </c>
      <c r="ABI1" s="5" t="s">
        <v>1040</v>
      </c>
      <c r="ABJ1" s="5" t="s">
        <v>1041</v>
      </c>
      <c r="ABK1" s="5" t="s">
        <v>1042</v>
      </c>
      <c r="ABL1" s="5" t="s">
        <v>1043</v>
      </c>
      <c r="ABM1" s="5" t="s">
        <v>1044</v>
      </c>
      <c r="ABN1" s="5" t="s">
        <v>1045</v>
      </c>
      <c r="ABO1" s="5" t="s">
        <v>1046</v>
      </c>
      <c r="ABP1" s="5" t="s">
        <v>1047</v>
      </c>
      <c r="ABQ1" s="5" t="s">
        <v>1048</v>
      </c>
      <c r="ABR1" s="5" t="s">
        <v>1049</v>
      </c>
      <c r="ABS1" s="5" t="s">
        <v>1050</v>
      </c>
      <c r="ABT1" s="5" t="s">
        <v>1051</v>
      </c>
      <c r="ABU1" s="5" t="s">
        <v>1052</v>
      </c>
      <c r="ABV1" s="5" t="s">
        <v>1053</v>
      </c>
      <c r="ABW1" s="5" t="s">
        <v>1054</v>
      </c>
      <c r="ABX1" s="5" t="s">
        <v>1055</v>
      </c>
      <c r="ABY1" s="5" t="s">
        <v>1056</v>
      </c>
      <c r="ABZ1" s="5" t="s">
        <v>1057</v>
      </c>
      <c r="ACA1" s="5" t="s">
        <v>1058</v>
      </c>
      <c r="ACB1" s="5" t="s">
        <v>1059</v>
      </c>
      <c r="ACC1" s="5" t="s">
        <v>1060</v>
      </c>
      <c r="ACD1" s="5" t="s">
        <v>1061</v>
      </c>
      <c r="ACE1" s="5" t="s">
        <v>1062</v>
      </c>
      <c r="ACF1" s="5" t="s">
        <v>1063</v>
      </c>
      <c r="ACG1" s="5" t="s">
        <v>1064</v>
      </c>
      <c r="ACH1" s="5" t="s">
        <v>1065</v>
      </c>
      <c r="ACI1" s="5" t="s">
        <v>1066</v>
      </c>
      <c r="ACJ1" s="5" t="s">
        <v>1067</v>
      </c>
      <c r="ACK1" s="5" t="s">
        <v>1068</v>
      </c>
      <c r="ACL1" s="5" t="s">
        <v>1069</v>
      </c>
      <c r="ACM1" s="5" t="s">
        <v>1070</v>
      </c>
      <c r="ACN1" s="5" t="s">
        <v>1071</v>
      </c>
      <c r="ACO1" s="5" t="s">
        <v>1072</v>
      </c>
      <c r="ACP1" s="5" t="s">
        <v>1073</v>
      </c>
      <c r="ACQ1" s="5" t="s">
        <v>1074</v>
      </c>
      <c r="ACR1" s="5" t="s">
        <v>1075</v>
      </c>
      <c r="ACS1" s="5" t="s">
        <v>1076</v>
      </c>
      <c r="ACT1" s="5" t="s">
        <v>1077</v>
      </c>
      <c r="ACU1" s="5" t="s">
        <v>1078</v>
      </c>
      <c r="ACV1" s="5" t="s">
        <v>1079</v>
      </c>
      <c r="ACW1" s="5" t="s">
        <v>1080</v>
      </c>
      <c r="ACX1" s="5" t="s">
        <v>1081</v>
      </c>
      <c r="ACY1" s="5" t="s">
        <v>1082</v>
      </c>
      <c r="ACZ1" s="5" t="s">
        <v>1083</v>
      </c>
      <c r="ADA1" s="5" t="s">
        <v>1084</v>
      </c>
      <c r="ADB1" s="5" t="s">
        <v>1085</v>
      </c>
      <c r="ADC1" s="5" t="s">
        <v>1086</v>
      </c>
      <c r="ADD1" s="5" t="s">
        <v>1087</v>
      </c>
      <c r="ADE1" s="5" t="s">
        <v>1088</v>
      </c>
      <c r="ADF1" s="5" t="s">
        <v>1089</v>
      </c>
      <c r="ADG1" s="5" t="s">
        <v>1090</v>
      </c>
      <c r="ADH1" s="5" t="s">
        <v>1091</v>
      </c>
      <c r="ADI1" s="5" t="s">
        <v>1092</v>
      </c>
      <c r="ADJ1" s="5" t="s">
        <v>1093</v>
      </c>
      <c r="ADK1" s="5" t="s">
        <v>1094</v>
      </c>
      <c r="ADL1" s="5" t="s">
        <v>1095</v>
      </c>
      <c r="ADM1" s="5" t="s">
        <v>1096</v>
      </c>
      <c r="ADN1" s="5" t="s">
        <v>1097</v>
      </c>
      <c r="ADO1" s="5" t="s">
        <v>1098</v>
      </c>
      <c r="ADP1" s="5" t="s">
        <v>1099</v>
      </c>
      <c r="ADQ1" s="5" t="s">
        <v>1100</v>
      </c>
      <c r="ADR1" s="5" t="s">
        <v>1101</v>
      </c>
      <c r="ADS1" s="5" t="s">
        <v>1102</v>
      </c>
      <c r="ADT1" s="5" t="s">
        <v>1103</v>
      </c>
      <c r="ADU1" s="5" t="s">
        <v>1104</v>
      </c>
      <c r="ADV1" s="5" t="s">
        <v>1105</v>
      </c>
      <c r="ADW1" s="5" t="s">
        <v>1106</v>
      </c>
      <c r="ADX1" s="5" t="s">
        <v>1107</v>
      </c>
      <c r="ADY1" s="5" t="s">
        <v>1108</v>
      </c>
      <c r="ADZ1" s="5" t="s">
        <v>1109</v>
      </c>
      <c r="AEA1" s="5" t="s">
        <v>1110</v>
      </c>
      <c r="AEB1" s="5" t="s">
        <v>1111</v>
      </c>
      <c r="AEC1" s="5" t="s">
        <v>1112</v>
      </c>
      <c r="AED1" s="5" t="s">
        <v>1113</v>
      </c>
      <c r="AEE1" s="5" t="s">
        <v>1114</v>
      </c>
      <c r="AEF1" s="5" t="s">
        <v>1115</v>
      </c>
      <c r="AEG1" s="5" t="s">
        <v>1116</v>
      </c>
      <c r="AEH1" s="5" t="s">
        <v>1117</v>
      </c>
      <c r="AEI1" s="5" t="s">
        <v>1118</v>
      </c>
      <c r="AEJ1" s="5" t="s">
        <v>1119</v>
      </c>
      <c r="AEK1" s="5" t="s">
        <v>1120</v>
      </c>
      <c r="AEL1" s="5" t="s">
        <v>1121</v>
      </c>
      <c r="AEM1" s="5" t="s">
        <v>1122</v>
      </c>
      <c r="AEN1" s="5" t="s">
        <v>1123</v>
      </c>
      <c r="AEO1" s="5" t="s">
        <v>1124</v>
      </c>
      <c r="AEP1" s="5" t="s">
        <v>1125</v>
      </c>
      <c r="AEQ1" s="5" t="s">
        <v>1126</v>
      </c>
      <c r="AER1" s="5" t="s">
        <v>1127</v>
      </c>
      <c r="AES1" s="5" t="s">
        <v>1128</v>
      </c>
      <c r="AET1" s="5" t="s">
        <v>1129</v>
      </c>
      <c r="AEU1" s="5" t="s">
        <v>1130</v>
      </c>
      <c r="AEV1" s="5" t="s">
        <v>1131</v>
      </c>
      <c r="AEW1" s="5" t="s">
        <v>1132</v>
      </c>
      <c r="AEX1" s="5" t="s">
        <v>1133</v>
      </c>
      <c r="AEY1" s="5" t="s">
        <v>1134</v>
      </c>
      <c r="AEZ1" s="5" t="s">
        <v>1135</v>
      </c>
      <c r="AFA1" s="5" t="s">
        <v>1136</v>
      </c>
      <c r="AFB1" s="5" t="s">
        <v>1137</v>
      </c>
      <c r="AFC1" s="5" t="s">
        <v>1138</v>
      </c>
      <c r="AFD1" s="5" t="s">
        <v>1139</v>
      </c>
      <c r="AFE1" s="5" t="s">
        <v>1140</v>
      </c>
      <c r="AFF1" s="5" t="s">
        <v>1141</v>
      </c>
      <c r="AFG1" s="5" t="s">
        <v>1142</v>
      </c>
      <c r="AFH1" s="5" t="s">
        <v>1143</v>
      </c>
      <c r="AFI1" s="5" t="s">
        <v>1144</v>
      </c>
      <c r="AFJ1" s="5" t="s">
        <v>1145</v>
      </c>
      <c r="AFK1" s="5" t="s">
        <v>1146</v>
      </c>
      <c r="AFL1" s="5" t="s">
        <v>1147</v>
      </c>
      <c r="AFM1" s="5" t="s">
        <v>1148</v>
      </c>
      <c r="AFN1" s="5" t="s">
        <v>1149</v>
      </c>
      <c r="AFO1" s="5" t="s">
        <v>1150</v>
      </c>
      <c r="AFP1" s="5" t="s">
        <v>1151</v>
      </c>
      <c r="AFQ1" s="5" t="s">
        <v>1152</v>
      </c>
      <c r="AFR1" s="5" t="s">
        <v>1153</v>
      </c>
      <c r="AFS1" s="5" t="s">
        <v>1154</v>
      </c>
      <c r="AFT1" s="5" t="s">
        <v>1155</v>
      </c>
      <c r="AFU1" s="5" t="s">
        <v>1156</v>
      </c>
      <c r="AFV1" s="5" t="s">
        <v>1157</v>
      </c>
      <c r="AFW1" s="5" t="s">
        <v>1158</v>
      </c>
      <c r="AFX1" s="5" t="s">
        <v>1159</v>
      </c>
      <c r="AFY1" s="5" t="s">
        <v>1160</v>
      </c>
      <c r="AFZ1" s="5" t="s">
        <v>1161</v>
      </c>
      <c r="AGA1" s="5" t="s">
        <v>1162</v>
      </c>
      <c r="AGB1" s="5" t="s">
        <v>1163</v>
      </c>
      <c r="AGC1" s="5" t="s">
        <v>1164</v>
      </c>
      <c r="AGD1" s="5" t="s">
        <v>1165</v>
      </c>
      <c r="AGE1" s="5" t="s">
        <v>1166</v>
      </c>
      <c r="AGF1" s="5" t="s">
        <v>1167</v>
      </c>
      <c r="AGG1" s="5" t="s">
        <v>1168</v>
      </c>
      <c r="AGH1" s="5" t="s">
        <v>1169</v>
      </c>
      <c r="AGI1" s="5" t="s">
        <v>1170</v>
      </c>
      <c r="AGJ1" s="5" t="s">
        <v>1171</v>
      </c>
      <c r="AGK1" s="5" t="s">
        <v>1172</v>
      </c>
      <c r="AGL1" s="5" t="s">
        <v>1173</v>
      </c>
      <c r="AGM1" s="5" t="s">
        <v>1174</v>
      </c>
      <c r="AGN1" s="5" t="s">
        <v>1175</v>
      </c>
      <c r="AGO1" s="5" t="s">
        <v>1176</v>
      </c>
      <c r="AGP1" s="5" t="s">
        <v>1177</v>
      </c>
      <c r="AGQ1" s="5" t="s">
        <v>1178</v>
      </c>
      <c r="AGR1" s="5" t="s">
        <v>1179</v>
      </c>
      <c r="AGS1" s="5" t="s">
        <v>1180</v>
      </c>
      <c r="AGT1" s="5" t="s">
        <v>1181</v>
      </c>
      <c r="AGU1" s="5" t="s">
        <v>1182</v>
      </c>
      <c r="AGV1" s="5" t="s">
        <v>1183</v>
      </c>
      <c r="AGW1" s="5" t="s">
        <v>1184</v>
      </c>
      <c r="AGX1" s="5" t="s">
        <v>1185</v>
      </c>
      <c r="AGY1" s="5" t="s">
        <v>1186</v>
      </c>
      <c r="AGZ1" s="5" t="s">
        <v>1187</v>
      </c>
      <c r="AHA1" s="5" t="s">
        <v>1188</v>
      </c>
      <c r="AHB1" s="5" t="s">
        <v>1189</v>
      </c>
      <c r="AHC1" s="5" t="s">
        <v>1190</v>
      </c>
      <c r="AHD1" s="5" t="s">
        <v>1191</v>
      </c>
      <c r="AHE1" s="5" t="s">
        <v>1192</v>
      </c>
      <c r="AHF1" s="5" t="s">
        <v>1193</v>
      </c>
      <c r="AHG1" s="5" t="s">
        <v>1194</v>
      </c>
      <c r="AHH1" s="5" t="s">
        <v>1195</v>
      </c>
      <c r="AHI1" s="5" t="s">
        <v>1196</v>
      </c>
      <c r="AHJ1" s="5" t="s">
        <v>1197</v>
      </c>
      <c r="AHK1" s="5" t="s">
        <v>1198</v>
      </c>
      <c r="AHL1" s="5" t="s">
        <v>1199</v>
      </c>
      <c r="AHM1" s="5" t="s">
        <v>1200</v>
      </c>
      <c r="AHN1" s="5" t="s">
        <v>1201</v>
      </c>
      <c r="AHO1" s="5" t="s">
        <v>1202</v>
      </c>
      <c r="AHP1" s="5" t="s">
        <v>1203</v>
      </c>
      <c r="AHQ1" s="5" t="s">
        <v>1204</v>
      </c>
      <c r="AHR1" s="5" t="s">
        <v>1205</v>
      </c>
      <c r="AHS1" s="5" t="s">
        <v>1206</v>
      </c>
      <c r="AHT1" s="5" t="s">
        <v>1207</v>
      </c>
      <c r="AHU1" s="5" t="s">
        <v>1208</v>
      </c>
      <c r="AHV1" s="5" t="s">
        <v>1209</v>
      </c>
      <c r="AHW1" s="5" t="s">
        <v>1210</v>
      </c>
      <c r="AHX1" s="5" t="s">
        <v>1211</v>
      </c>
      <c r="AHY1" s="5" t="s">
        <v>1212</v>
      </c>
      <c r="AHZ1" s="5" t="s">
        <v>1213</v>
      </c>
      <c r="AIA1" s="5" t="s">
        <v>1214</v>
      </c>
      <c r="AIB1" s="5" t="s">
        <v>1215</v>
      </c>
      <c r="AIC1" s="5" t="s">
        <v>1216</v>
      </c>
      <c r="AID1" s="5" t="s">
        <v>1217</v>
      </c>
      <c r="AIE1" s="5" t="s">
        <v>1218</v>
      </c>
      <c r="AIF1" s="5" t="s">
        <v>1219</v>
      </c>
      <c r="AIG1" s="5" t="s">
        <v>1220</v>
      </c>
      <c r="AIH1" s="5" t="s">
        <v>1221</v>
      </c>
      <c r="AII1" s="5" t="s">
        <v>1222</v>
      </c>
      <c r="AIJ1" s="5" t="s">
        <v>1223</v>
      </c>
      <c r="AIK1" s="5" t="s">
        <v>1224</v>
      </c>
      <c r="AIL1" s="5" t="s">
        <v>1225</v>
      </c>
      <c r="AIM1" s="5" t="s">
        <v>1226</v>
      </c>
      <c r="AIN1" s="5" t="s">
        <v>1227</v>
      </c>
      <c r="AIO1" s="5" t="s">
        <v>1228</v>
      </c>
      <c r="AIP1" s="5" t="s">
        <v>1229</v>
      </c>
      <c r="AIQ1" s="5" t="s">
        <v>1230</v>
      </c>
      <c r="AIR1" s="5" t="s">
        <v>1231</v>
      </c>
      <c r="AIS1" s="5" t="s">
        <v>1232</v>
      </c>
      <c r="AIT1" s="5" t="s">
        <v>1233</v>
      </c>
      <c r="AIU1" s="5" t="s">
        <v>1234</v>
      </c>
      <c r="AIV1" s="5" t="s">
        <v>1235</v>
      </c>
      <c r="AIW1" s="5" t="s">
        <v>1236</v>
      </c>
      <c r="AIX1" s="5" t="s">
        <v>1237</v>
      </c>
      <c r="AIY1" s="5" t="s">
        <v>1238</v>
      </c>
      <c r="AIZ1" s="5" t="s">
        <v>1239</v>
      </c>
      <c r="AJA1" s="5" t="s">
        <v>1240</v>
      </c>
      <c r="AJB1" s="5" t="s">
        <v>1241</v>
      </c>
      <c r="AJC1" s="5" t="s">
        <v>1242</v>
      </c>
      <c r="AJD1" s="5" t="s">
        <v>1243</v>
      </c>
      <c r="AJE1" s="5" t="s">
        <v>1244</v>
      </c>
      <c r="AJF1" s="5" t="s">
        <v>1245</v>
      </c>
      <c r="AJG1" s="5" t="s">
        <v>1246</v>
      </c>
      <c r="AJH1" s="5" t="s">
        <v>1247</v>
      </c>
      <c r="AJI1" s="5" t="s">
        <v>1248</v>
      </c>
      <c r="AJJ1" s="5" t="s">
        <v>1249</v>
      </c>
      <c r="AJK1" s="5" t="s">
        <v>1250</v>
      </c>
      <c r="AJL1" s="5" t="s">
        <v>1251</v>
      </c>
      <c r="AJM1" s="5" t="s">
        <v>1252</v>
      </c>
      <c r="AJN1" s="5" t="s">
        <v>1253</v>
      </c>
      <c r="AJO1" s="5" t="s">
        <v>1254</v>
      </c>
      <c r="AJP1" s="5" t="s">
        <v>1255</v>
      </c>
      <c r="AJQ1" s="5" t="s">
        <v>1256</v>
      </c>
      <c r="AJR1" s="5" t="s">
        <v>1257</v>
      </c>
      <c r="AJS1" s="5" t="s">
        <v>1258</v>
      </c>
      <c r="AJT1" s="5" t="s">
        <v>1259</v>
      </c>
      <c r="AJU1" s="5" t="s">
        <v>1260</v>
      </c>
      <c r="AJV1" s="5" t="s">
        <v>1261</v>
      </c>
      <c r="AJW1" s="5" t="s">
        <v>1262</v>
      </c>
      <c r="AJX1" s="5" t="s">
        <v>1263</v>
      </c>
      <c r="AJY1" s="5" t="s">
        <v>1264</v>
      </c>
      <c r="AJZ1" s="5" t="s">
        <v>1265</v>
      </c>
      <c r="AKA1" s="5" t="s">
        <v>1266</v>
      </c>
      <c r="AKB1" s="5" t="s">
        <v>1267</v>
      </c>
      <c r="AKC1" s="5" t="s">
        <v>1268</v>
      </c>
      <c r="AKD1" s="5" t="s">
        <v>1269</v>
      </c>
      <c r="AKE1" s="5" t="s">
        <v>1270</v>
      </c>
      <c r="AKF1" s="5" t="s">
        <v>1271</v>
      </c>
      <c r="AKG1" s="5" t="s">
        <v>1272</v>
      </c>
      <c r="AKH1" s="5" t="s">
        <v>1273</v>
      </c>
      <c r="AKI1" s="5" t="s">
        <v>1274</v>
      </c>
      <c r="AKJ1" s="5" t="s">
        <v>1275</v>
      </c>
      <c r="AKK1" s="5" t="s">
        <v>1276</v>
      </c>
      <c r="AKL1" s="5" t="s">
        <v>1277</v>
      </c>
      <c r="AKM1" s="5" t="s">
        <v>1278</v>
      </c>
      <c r="AKN1" s="5" t="s">
        <v>1279</v>
      </c>
      <c r="AKO1" s="5" t="s">
        <v>1280</v>
      </c>
      <c r="AKP1" s="5" t="s">
        <v>1281</v>
      </c>
      <c r="AKQ1" s="5" t="s">
        <v>1282</v>
      </c>
      <c r="AKR1" s="5" t="s">
        <v>1283</v>
      </c>
      <c r="AKS1" s="5" t="s">
        <v>1284</v>
      </c>
      <c r="AKT1" s="5" t="s">
        <v>1285</v>
      </c>
      <c r="AKU1" s="5" t="s">
        <v>1286</v>
      </c>
      <c r="AKV1" s="5" t="s">
        <v>1287</v>
      </c>
      <c r="AKW1" s="5" t="s">
        <v>1288</v>
      </c>
      <c r="AKX1" s="5" t="s">
        <v>1289</v>
      </c>
      <c r="AKY1" s="5" t="s">
        <v>1290</v>
      </c>
      <c r="AKZ1" s="5" t="s">
        <v>1291</v>
      </c>
      <c r="ALA1" s="5" t="s">
        <v>1292</v>
      </c>
      <c r="ALB1" s="5" t="s">
        <v>1293</v>
      </c>
      <c r="ALC1" s="5" t="s">
        <v>1294</v>
      </c>
      <c r="ALD1" s="5" t="s">
        <v>1295</v>
      </c>
      <c r="ALE1" s="5" t="s">
        <v>1296</v>
      </c>
      <c r="ALF1" s="5" t="s">
        <v>1297</v>
      </c>
      <c r="ALG1" s="5" t="s">
        <v>1298</v>
      </c>
      <c r="ALH1" s="5" t="s">
        <v>1299</v>
      </c>
      <c r="ALI1" s="5" t="s">
        <v>1300</v>
      </c>
      <c r="ALJ1" s="5" t="s">
        <v>1301</v>
      </c>
      <c r="ALK1" s="5" t="s">
        <v>1302</v>
      </c>
      <c r="ALL1" s="5" t="s">
        <v>1303</v>
      </c>
      <c r="ALM1" s="5" t="s">
        <v>1304</v>
      </c>
      <c r="ALN1" s="5" t="s">
        <v>1305</v>
      </c>
      <c r="ALO1" s="5" t="s">
        <v>1306</v>
      </c>
      <c r="ALP1" s="5" t="s">
        <v>1307</v>
      </c>
      <c r="ALQ1" s="5" t="s">
        <v>1308</v>
      </c>
      <c r="ALR1" s="5" t="s">
        <v>1309</v>
      </c>
      <c r="ALS1" s="5" t="s">
        <v>1310</v>
      </c>
      <c r="ALT1" s="5" t="s">
        <v>1311</v>
      </c>
      <c r="ALU1" s="5" t="s">
        <v>1312</v>
      </c>
      <c r="ALV1" s="5" t="s">
        <v>1313</v>
      </c>
      <c r="ALW1" s="5" t="s">
        <v>1314</v>
      </c>
      <c r="ALX1" s="5" t="s">
        <v>1315</v>
      </c>
      <c r="ALY1" s="5" t="s">
        <v>1316</v>
      </c>
      <c r="ALZ1" s="5" t="s">
        <v>1317</v>
      </c>
      <c r="AMA1" s="5" t="s">
        <v>1318</v>
      </c>
      <c r="AMB1" s="5" t="s">
        <v>1319</v>
      </c>
      <c r="AMC1" s="5" t="s">
        <v>1320</v>
      </c>
      <c r="AMD1" s="5" t="s">
        <v>1321</v>
      </c>
      <c r="AME1" s="5" t="s">
        <v>1322</v>
      </c>
      <c r="AMF1" s="5" t="s">
        <v>1323</v>
      </c>
      <c r="AMG1" s="5" t="s">
        <v>1324</v>
      </c>
      <c r="AMH1" s="5" t="s">
        <v>1325</v>
      </c>
      <c r="AMI1" s="5" t="s">
        <v>1326</v>
      </c>
      <c r="AMJ1" s="5" t="s">
        <v>1327</v>
      </c>
    </row>
    <row r="2" spans="1:1024" ht="17.100000000000001" customHeight="1">
      <c r="A2" s="6" t="s">
        <v>3</v>
      </c>
      <c r="B2" s="7">
        <f t="shared" ref="B2:B65" si="0">SUM(C2:U2)</f>
        <v>4984.95</v>
      </c>
      <c r="C2" s="7">
        <f>SUM(54+80.4+82.5)</f>
        <v>216.9</v>
      </c>
      <c r="D2" s="7">
        <f>SUM(46+54+160+55.5+42.4+52+160+66)</f>
        <v>635.9</v>
      </c>
      <c r="E2" s="8">
        <f>SUM(54+53+120+54+120)</f>
        <v>401</v>
      </c>
      <c r="F2" s="8">
        <f>SUM(54+120+160+52)</f>
        <v>386</v>
      </c>
      <c r="G2" s="8">
        <v>264.5</v>
      </c>
      <c r="H2" s="8">
        <v>570.35</v>
      </c>
      <c r="I2" s="8">
        <v>467</v>
      </c>
      <c r="J2" s="8">
        <v>563.29999999999995</v>
      </c>
      <c r="K2" s="8">
        <v>328</v>
      </c>
      <c r="L2" s="8">
        <v>639</v>
      </c>
      <c r="M2" s="8">
        <v>340</v>
      </c>
      <c r="N2" s="8">
        <v>107</v>
      </c>
      <c r="O2" s="8">
        <v>66</v>
      </c>
      <c r="P2" s="8"/>
      <c r="Q2" s="8"/>
      <c r="R2" s="8"/>
      <c r="S2" s="8"/>
    </row>
    <row r="3" spans="1:1024" ht="17.100000000000001" customHeight="1">
      <c r="A3" s="6" t="s">
        <v>4</v>
      </c>
      <c r="B3" s="7">
        <f t="shared" si="0"/>
        <v>4974.3999999999996</v>
      </c>
      <c r="C3" s="7">
        <f>SUM(80.4+80+120+120+160)</f>
        <v>560.4</v>
      </c>
      <c r="D3" s="7">
        <f>SUM(81+160+84)</f>
        <v>325</v>
      </c>
      <c r="E3" s="8">
        <f>SUM(50+81+53+120+120+85+81)</f>
        <v>590</v>
      </c>
      <c r="F3" s="8">
        <f>SUM(54+120+120+51+80+67+45+81+51+120+52)</f>
        <v>841</v>
      </c>
      <c r="G3" s="8">
        <v>243</v>
      </c>
      <c r="H3" s="8">
        <v>56</v>
      </c>
      <c r="I3" s="8">
        <v>561</v>
      </c>
      <c r="J3" s="8">
        <v>654</v>
      </c>
      <c r="K3" s="8">
        <v>506</v>
      </c>
      <c r="L3" s="8">
        <v>341</v>
      </c>
      <c r="M3" s="8">
        <v>297</v>
      </c>
      <c r="N3" s="8"/>
      <c r="O3" s="8"/>
      <c r="P3" s="8"/>
      <c r="Q3" s="8"/>
      <c r="R3" s="8"/>
      <c r="S3" s="8"/>
    </row>
    <row r="4" spans="1:1024" ht="17.100000000000001" customHeight="1">
      <c r="A4" s="6" t="s">
        <v>5</v>
      </c>
      <c r="B4" s="7">
        <f t="shared" si="0"/>
        <v>2731</v>
      </c>
      <c r="C4" s="7">
        <v>0</v>
      </c>
      <c r="D4" s="7">
        <f>SUM(34+44)</f>
        <v>78</v>
      </c>
      <c r="E4" s="8">
        <f>SUM(120+85)</f>
        <v>205</v>
      </c>
      <c r="F4" s="8">
        <f>SUM(80+39+81+51+120)</f>
        <v>371</v>
      </c>
      <c r="G4" s="8"/>
      <c r="H4" s="8">
        <v>536</v>
      </c>
      <c r="I4" s="8">
        <v>641.5</v>
      </c>
      <c r="J4" s="8">
        <v>368</v>
      </c>
      <c r="K4" s="8">
        <v>435.5</v>
      </c>
      <c r="L4" s="8">
        <v>96</v>
      </c>
      <c r="M4" s="8"/>
      <c r="N4" s="8"/>
      <c r="O4" s="8"/>
      <c r="P4" s="8"/>
      <c r="Q4" s="8"/>
      <c r="R4" s="8"/>
      <c r="S4" s="8"/>
    </row>
    <row r="5" spans="1:1024" ht="17.100000000000001" customHeight="1">
      <c r="A5" s="6" t="s">
        <v>6</v>
      </c>
      <c r="B5" s="7">
        <f t="shared" si="0"/>
        <v>2901.25</v>
      </c>
      <c r="C5" s="7">
        <f>SUM(55+120)</f>
        <v>175</v>
      </c>
      <c r="D5" s="7">
        <f>SUM(46+81+80+67+83+80+80+84)</f>
        <v>601</v>
      </c>
      <c r="E5" s="8">
        <f>SUM(50+80.4+53+80+52+54+67+85+59+57)</f>
        <v>637.4</v>
      </c>
      <c r="F5" s="8">
        <f>SUM(54+84+39+62+88+52)</f>
        <v>379</v>
      </c>
      <c r="G5" s="8">
        <v>365.5</v>
      </c>
      <c r="H5" s="8">
        <v>385.35</v>
      </c>
      <c r="I5" s="8">
        <v>281</v>
      </c>
      <c r="J5" s="8">
        <v>77</v>
      </c>
      <c r="K5" s="8"/>
      <c r="L5" s="8"/>
      <c r="M5" s="8"/>
      <c r="N5" s="8"/>
      <c r="O5" s="8"/>
      <c r="P5" s="8"/>
      <c r="Q5" s="8"/>
      <c r="R5" s="8"/>
      <c r="S5" s="8"/>
    </row>
    <row r="6" spans="1:1024" ht="17.100000000000001" customHeight="1">
      <c r="A6" s="6" t="s">
        <v>7</v>
      </c>
      <c r="B6" s="7">
        <f t="shared" si="0"/>
        <v>2672.8</v>
      </c>
      <c r="C6" s="7">
        <v>0</v>
      </c>
      <c r="D6" s="7">
        <f>SUM(81+100)</f>
        <v>181</v>
      </c>
      <c r="E6" s="8">
        <f>SUM(81+85+81)</f>
        <v>247</v>
      </c>
      <c r="F6" s="8"/>
      <c r="G6" s="8">
        <v>242</v>
      </c>
      <c r="H6" s="8">
        <v>325.5</v>
      </c>
      <c r="I6" s="8">
        <v>235</v>
      </c>
      <c r="J6" s="8">
        <v>561.29999999999995</v>
      </c>
      <c r="K6" s="8">
        <v>402</v>
      </c>
      <c r="L6" s="8">
        <v>394</v>
      </c>
      <c r="M6" s="8">
        <v>85</v>
      </c>
      <c r="N6" s="8"/>
      <c r="O6" s="8"/>
      <c r="P6" s="8"/>
      <c r="Q6" s="8"/>
      <c r="R6" s="8"/>
      <c r="S6" s="8"/>
    </row>
    <row r="7" spans="1:1024" ht="17.100000000000001" customHeight="1">
      <c r="A7" s="6" t="s">
        <v>8</v>
      </c>
      <c r="B7" s="7">
        <f t="shared" si="0"/>
        <v>2734.6</v>
      </c>
      <c r="C7" s="7">
        <f>SUM(54+80.4+80+122)</f>
        <v>336.4</v>
      </c>
      <c r="D7" s="7">
        <f>SUM(54+120+52+85+84)</f>
        <v>395</v>
      </c>
      <c r="E7" s="8">
        <f>SUM(81+54+120+89+51+55+81)</f>
        <v>531</v>
      </c>
      <c r="F7" s="8">
        <f>SUM(81+80+39+45+62+84)</f>
        <v>391</v>
      </c>
      <c r="G7" s="8">
        <v>282.5</v>
      </c>
      <c r="H7" s="8">
        <v>326.2</v>
      </c>
      <c r="I7" s="8">
        <v>388.5</v>
      </c>
      <c r="J7" s="8">
        <v>84</v>
      </c>
      <c r="K7" s="8"/>
      <c r="L7" s="8"/>
      <c r="M7" s="8"/>
      <c r="N7" s="8"/>
      <c r="O7" s="8"/>
      <c r="P7" s="8"/>
      <c r="Q7" s="8"/>
      <c r="R7" s="8"/>
      <c r="S7" s="8"/>
    </row>
    <row r="8" spans="1:1024" ht="17.100000000000001" customHeight="1">
      <c r="A8" s="6" t="s">
        <v>9</v>
      </c>
      <c r="B8" s="7">
        <f t="shared" si="0"/>
        <v>2805.6</v>
      </c>
      <c r="C8" s="7">
        <f>SUM(53.6+120+50+120+82)</f>
        <v>425.6</v>
      </c>
      <c r="D8" s="7">
        <f>SUM(81+120+67+83+52+120+84)</f>
        <v>607</v>
      </c>
      <c r="E8" s="8">
        <f>SUM(84+120+80+67+120+85+57)</f>
        <v>613</v>
      </c>
      <c r="F8" s="8">
        <f>SUM(81+120+80+81+52)</f>
        <v>414</v>
      </c>
      <c r="G8" s="8">
        <v>374.5</v>
      </c>
      <c r="H8" s="8">
        <v>281</v>
      </c>
      <c r="I8" s="8">
        <v>57.5</v>
      </c>
      <c r="J8" s="8">
        <v>33</v>
      </c>
      <c r="K8" s="8"/>
      <c r="L8" s="8"/>
      <c r="M8" s="8"/>
      <c r="N8" s="8"/>
      <c r="O8" s="8"/>
      <c r="P8" s="8"/>
      <c r="Q8" s="8"/>
      <c r="R8" s="8"/>
      <c r="S8" s="8"/>
    </row>
    <row r="9" spans="1:1024" ht="17.100000000000001" customHeight="1">
      <c r="A9" s="6" t="s">
        <v>10</v>
      </c>
      <c r="B9" s="7">
        <f t="shared" si="0"/>
        <v>2239.35</v>
      </c>
      <c r="C9" s="7">
        <f>SUM(55+53.6)</f>
        <v>108.6</v>
      </c>
      <c r="D9" s="7">
        <f>SUM(54+80+67+32)</f>
        <v>233</v>
      </c>
      <c r="E9" s="8">
        <f>SUM(53.6+34+80+67+85+57)</f>
        <v>376.6</v>
      </c>
      <c r="F9" s="8">
        <f>SUM(53+80+67+81+37+34)</f>
        <v>352</v>
      </c>
      <c r="G9" s="8">
        <v>362</v>
      </c>
      <c r="H9" s="8">
        <v>220.85</v>
      </c>
      <c r="I9" s="8">
        <v>334.5</v>
      </c>
      <c r="J9" s="8">
        <v>251.8</v>
      </c>
      <c r="K9" s="8"/>
      <c r="L9" s="8"/>
      <c r="M9" s="8"/>
      <c r="N9" s="8"/>
      <c r="O9" s="8"/>
      <c r="P9" s="8"/>
      <c r="Q9" s="8"/>
      <c r="R9" s="8"/>
      <c r="S9" s="8"/>
    </row>
    <row r="10" spans="1:1024" ht="17.100000000000001" customHeight="1">
      <c r="A10" s="6" t="s">
        <v>11</v>
      </c>
      <c r="B10" s="7">
        <f t="shared" si="0"/>
        <v>2040.8</v>
      </c>
      <c r="C10" s="7">
        <v>0</v>
      </c>
      <c r="D10" s="7">
        <f>SUM(40.5+80)</f>
        <v>120.5</v>
      </c>
      <c r="E10" s="8">
        <f>SUM(50+80+80+85)</f>
        <v>295</v>
      </c>
      <c r="F10" s="8">
        <f>SUM(80+80+81+120)</f>
        <v>361</v>
      </c>
      <c r="G10" s="8">
        <v>241.5</v>
      </c>
      <c r="H10" s="8"/>
      <c r="I10" s="8">
        <v>540</v>
      </c>
      <c r="J10" s="8">
        <v>271.8</v>
      </c>
      <c r="K10" s="8">
        <v>181</v>
      </c>
      <c r="L10" s="8">
        <v>30</v>
      </c>
      <c r="M10" s="8"/>
      <c r="N10" s="8"/>
      <c r="O10" s="8"/>
      <c r="P10" s="8"/>
      <c r="Q10" s="8"/>
      <c r="R10" s="8"/>
      <c r="S10" s="8"/>
    </row>
    <row r="11" spans="1:1024" ht="17.100000000000001" customHeight="1">
      <c r="A11" s="6" t="s">
        <v>12</v>
      </c>
      <c r="B11" s="7">
        <f t="shared" si="0"/>
        <v>2121.25</v>
      </c>
      <c r="C11" s="7">
        <f>SUM(55+80)</f>
        <v>135</v>
      </c>
      <c r="D11" s="7">
        <f>SUM(40.5+80+56)</f>
        <v>176.5</v>
      </c>
      <c r="E11" s="8">
        <f>SUM(80.4+120+80+67+57)</f>
        <v>404.4</v>
      </c>
      <c r="F11" s="8">
        <f>SUM(81+80+67+81+120+52)</f>
        <v>481</v>
      </c>
      <c r="G11" s="8">
        <v>517</v>
      </c>
      <c r="H11" s="8">
        <v>365.35</v>
      </c>
      <c r="I11" s="8">
        <v>42</v>
      </c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1024" ht="17.100000000000001" customHeight="1">
      <c r="A12" s="6" t="s">
        <v>13</v>
      </c>
      <c r="B12" s="7">
        <f t="shared" si="0"/>
        <v>1923</v>
      </c>
      <c r="C12" s="7">
        <v>0</v>
      </c>
      <c r="D12" s="7">
        <v>0</v>
      </c>
      <c r="E12" s="8"/>
      <c r="F12" s="8"/>
      <c r="G12" s="8"/>
      <c r="H12" s="8"/>
      <c r="I12" s="8"/>
      <c r="J12" s="8"/>
      <c r="K12" s="8">
        <v>401</v>
      </c>
      <c r="L12" s="8">
        <v>63</v>
      </c>
      <c r="M12" s="8">
        <v>211</v>
      </c>
      <c r="N12" s="8">
        <v>371</v>
      </c>
      <c r="O12" s="8">
        <v>350</v>
      </c>
      <c r="P12" s="8">
        <v>306</v>
      </c>
      <c r="Q12" s="8">
        <v>188</v>
      </c>
      <c r="R12" s="8">
        <v>33</v>
      </c>
      <c r="S12" s="8"/>
    </row>
    <row r="13" spans="1:1024" ht="17.100000000000001" customHeight="1">
      <c r="A13" s="6" t="s">
        <v>14</v>
      </c>
      <c r="B13" s="7">
        <f t="shared" si="0"/>
        <v>1918.8</v>
      </c>
      <c r="C13" s="7">
        <v>0</v>
      </c>
      <c r="D13" s="7">
        <v>0</v>
      </c>
      <c r="E13" s="8"/>
      <c r="F13" s="8"/>
      <c r="G13" s="8"/>
      <c r="H13" s="8"/>
      <c r="I13" s="8">
        <v>84</v>
      </c>
      <c r="J13" s="8">
        <v>555.79999999999995</v>
      </c>
      <c r="K13" s="8">
        <v>303</v>
      </c>
      <c r="L13" s="8">
        <v>415</v>
      </c>
      <c r="M13" s="8">
        <v>265</v>
      </c>
      <c r="N13" s="8">
        <v>296</v>
      </c>
      <c r="O13" s="8"/>
      <c r="P13" s="8"/>
      <c r="Q13" s="8"/>
      <c r="R13" s="8"/>
      <c r="S13" s="8"/>
    </row>
    <row r="14" spans="1:1024" ht="17.100000000000001" customHeight="1">
      <c r="A14" s="6" t="s">
        <v>15</v>
      </c>
      <c r="B14" s="7">
        <f t="shared" si="0"/>
        <v>1827.35</v>
      </c>
      <c r="C14" s="7">
        <v>0</v>
      </c>
      <c r="D14" s="7">
        <v>0</v>
      </c>
      <c r="E14" s="8">
        <f>SUM(50+53+120+50+120)</f>
        <v>393</v>
      </c>
      <c r="F14" s="8">
        <f>SUM(54+80+53+120+51+51+80)</f>
        <v>489</v>
      </c>
      <c r="G14" s="8">
        <v>545</v>
      </c>
      <c r="H14" s="8">
        <v>302.85000000000002</v>
      </c>
      <c r="I14" s="8">
        <v>97.5</v>
      </c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1:1024" ht="17.100000000000001" customHeight="1">
      <c r="A15" s="6" t="s">
        <v>16</v>
      </c>
      <c r="B15" s="7">
        <f t="shared" si="0"/>
        <v>1759.45</v>
      </c>
      <c r="C15" s="7">
        <f>SUM(50)</f>
        <v>50</v>
      </c>
      <c r="D15" s="7">
        <f>SUM(56)</f>
        <v>56</v>
      </c>
      <c r="E15" s="8">
        <f>SUM(31.6)</f>
        <v>31.6</v>
      </c>
      <c r="F15" s="8">
        <f>SUM(32+81+67)</f>
        <v>180</v>
      </c>
      <c r="G15" s="8">
        <v>359.5</v>
      </c>
      <c r="H15" s="8">
        <v>241.85</v>
      </c>
      <c r="I15" s="8">
        <v>435.5</v>
      </c>
      <c r="J15" s="8">
        <v>189</v>
      </c>
      <c r="K15" s="8">
        <v>47</v>
      </c>
      <c r="L15" s="8">
        <v>169</v>
      </c>
      <c r="M15" s="8"/>
      <c r="N15" s="8"/>
      <c r="O15" s="8"/>
      <c r="P15" s="8"/>
      <c r="Q15" s="8"/>
      <c r="R15" s="8"/>
      <c r="S15" s="8"/>
    </row>
    <row r="16" spans="1:1024" ht="17.100000000000001" customHeight="1">
      <c r="A16" s="6" t="s">
        <v>17</v>
      </c>
      <c r="B16" s="7">
        <f t="shared" si="0"/>
        <v>1887.1999999999998</v>
      </c>
      <c r="C16" s="7">
        <f>SUM(53.6+120+160)</f>
        <v>333.6</v>
      </c>
      <c r="D16" s="7">
        <f>SUM(46+54+160+120+32+40.5+160)</f>
        <v>612.5</v>
      </c>
      <c r="E16" s="8">
        <f>SUM(50+120+120+52+120)</f>
        <v>462</v>
      </c>
      <c r="F16" s="8">
        <f>SUM(90.6+84+81+51)</f>
        <v>306.60000000000002</v>
      </c>
      <c r="G16" s="8">
        <v>172.5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 ht="17.100000000000001" customHeight="1">
      <c r="A17" s="6" t="s">
        <v>18</v>
      </c>
      <c r="B17" s="7">
        <f t="shared" si="0"/>
        <v>1484</v>
      </c>
      <c r="C17" s="7">
        <v>0</v>
      </c>
      <c r="D17" s="7">
        <v>0</v>
      </c>
      <c r="E17" s="8"/>
      <c r="F17" s="8"/>
      <c r="G17" s="8"/>
      <c r="H17" s="8"/>
      <c r="I17" s="8"/>
      <c r="J17" s="8">
        <v>144</v>
      </c>
      <c r="K17" s="8">
        <v>142</v>
      </c>
      <c r="L17" s="8">
        <v>246</v>
      </c>
      <c r="M17" s="8"/>
      <c r="N17" s="8">
        <v>183</v>
      </c>
      <c r="O17" s="8">
        <v>249</v>
      </c>
      <c r="P17" s="8">
        <v>305</v>
      </c>
      <c r="Q17" s="8">
        <v>182</v>
      </c>
      <c r="R17" s="8">
        <v>33</v>
      </c>
      <c r="S17" s="8"/>
    </row>
    <row r="18" spans="1:19" ht="17.100000000000001" customHeight="1">
      <c r="A18" s="6" t="s">
        <v>19</v>
      </c>
      <c r="B18" s="7">
        <f t="shared" si="0"/>
        <v>1696.35</v>
      </c>
      <c r="C18" s="7">
        <f>SUM(120+120)</f>
        <v>240</v>
      </c>
      <c r="D18" s="7">
        <f>SUM(42.4+42.4+83+82.4+80)</f>
        <v>330.20000000000005</v>
      </c>
      <c r="E18" s="8">
        <f>SUM(45.9+48.4+81)</f>
        <v>175.3</v>
      </c>
      <c r="F18" s="8">
        <f>SUM(81)</f>
        <v>81</v>
      </c>
      <c r="G18" s="8">
        <v>200</v>
      </c>
      <c r="H18" s="8">
        <v>410.85</v>
      </c>
      <c r="I18" s="8">
        <v>259</v>
      </c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1:19" ht="17.100000000000001" customHeight="1">
      <c r="A19" s="6" t="s">
        <v>20</v>
      </c>
      <c r="B19" s="7">
        <f t="shared" si="0"/>
        <v>1426.4499999999998</v>
      </c>
      <c r="C19" s="7">
        <v>0</v>
      </c>
      <c r="D19" s="7">
        <v>0</v>
      </c>
      <c r="E19" s="8">
        <f>SUM(53.6+52+67+85)</f>
        <v>257.60000000000002</v>
      </c>
      <c r="F19" s="8">
        <f>SUM(53+53+80+67+81+51+52)</f>
        <v>437</v>
      </c>
      <c r="G19" s="8">
        <v>369.5</v>
      </c>
      <c r="H19" s="8">
        <v>276.35000000000002</v>
      </c>
      <c r="I19" s="8">
        <v>42</v>
      </c>
      <c r="J19" s="8">
        <v>44</v>
      </c>
      <c r="K19" s="8"/>
      <c r="L19" s="8"/>
      <c r="M19" s="8"/>
      <c r="N19" s="8"/>
      <c r="O19" s="8"/>
      <c r="P19" s="8"/>
      <c r="Q19" s="8"/>
      <c r="R19" s="8"/>
      <c r="S19" s="8"/>
    </row>
    <row r="20" spans="1:19" ht="17.100000000000001" customHeight="1">
      <c r="A20" s="6" t="s">
        <v>21</v>
      </c>
      <c r="B20" s="7">
        <f t="shared" si="0"/>
        <v>1416.2</v>
      </c>
      <c r="C20" s="7">
        <f>SUM(53.6)</f>
        <v>53.6</v>
      </c>
      <c r="D20" s="7">
        <f>SUM(54+34+32+40.5+80)</f>
        <v>240.5</v>
      </c>
      <c r="E20" s="8">
        <f>SUM(120+120+52)</f>
        <v>292</v>
      </c>
      <c r="F20" s="8">
        <f>SUM(90.6+81+51)</f>
        <v>222.6</v>
      </c>
      <c r="G20" s="8">
        <v>328.5</v>
      </c>
      <c r="H20" s="8">
        <v>214</v>
      </c>
      <c r="I20" s="8">
        <v>65</v>
      </c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19" ht="17.100000000000001" customHeight="1">
      <c r="A21" s="6" t="s">
        <v>22</v>
      </c>
      <c r="B21" s="7">
        <f t="shared" si="0"/>
        <v>1739.4</v>
      </c>
      <c r="C21" s="7">
        <f>SUM(54+120+120+80+80)</f>
        <v>454</v>
      </c>
      <c r="D21" s="7">
        <f>SUM(46+50+54+80+67+120+120+66)</f>
        <v>603</v>
      </c>
      <c r="E21" s="8">
        <f>SUM(80.4+53+80+67+85+81)</f>
        <v>446.4</v>
      </c>
      <c r="F21" s="8">
        <f>SUM(34+62+51+89)</f>
        <v>236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19" ht="17.100000000000001" customHeight="1">
      <c r="A22" s="6" t="s">
        <v>23</v>
      </c>
      <c r="B22" s="7">
        <f t="shared" si="0"/>
        <v>1243</v>
      </c>
      <c r="C22" s="7">
        <v>0</v>
      </c>
      <c r="D22" s="7">
        <v>0</v>
      </c>
      <c r="E22" s="8"/>
      <c r="F22" s="8">
        <f>SUM(84)</f>
        <v>84</v>
      </c>
      <c r="G22" s="8">
        <v>440</v>
      </c>
      <c r="H22" s="8">
        <v>379</v>
      </c>
      <c r="I22" s="8">
        <v>197</v>
      </c>
      <c r="J22" s="8">
        <v>143</v>
      </c>
      <c r="K22" s="8"/>
      <c r="L22" s="8"/>
      <c r="M22" s="8"/>
      <c r="N22" s="8"/>
      <c r="O22" s="8"/>
      <c r="P22" s="8"/>
      <c r="Q22" s="8"/>
      <c r="R22" s="8"/>
      <c r="S22" s="8"/>
    </row>
    <row r="23" spans="1:19" ht="17.100000000000001" customHeight="1">
      <c r="A23" s="6" t="s">
        <v>24</v>
      </c>
      <c r="B23" s="7">
        <f t="shared" si="0"/>
        <v>1225.8</v>
      </c>
      <c r="C23" s="7">
        <v>0</v>
      </c>
      <c r="D23" s="7">
        <v>0</v>
      </c>
      <c r="E23" s="8"/>
      <c r="F23" s="8"/>
      <c r="G23" s="8"/>
      <c r="H23" s="8"/>
      <c r="I23" s="8">
        <v>287</v>
      </c>
      <c r="J23" s="8">
        <v>475.8</v>
      </c>
      <c r="K23" s="8">
        <v>247</v>
      </c>
      <c r="L23" s="8">
        <v>216</v>
      </c>
      <c r="M23" s="8"/>
      <c r="N23" s="8"/>
      <c r="O23" s="8"/>
      <c r="P23" s="8"/>
      <c r="Q23" s="8"/>
      <c r="R23" s="8"/>
      <c r="S23" s="8"/>
    </row>
    <row r="24" spans="1:19" ht="17.100000000000001" customHeight="1">
      <c r="A24" s="6" t="s">
        <v>25</v>
      </c>
      <c r="B24" s="7">
        <f t="shared" si="0"/>
        <v>1186.2</v>
      </c>
      <c r="C24" s="7">
        <v>0</v>
      </c>
      <c r="D24" s="7">
        <v>0</v>
      </c>
      <c r="E24" s="8"/>
      <c r="F24" s="8"/>
      <c r="G24" s="8"/>
      <c r="H24" s="8">
        <v>206.2</v>
      </c>
      <c r="I24" s="8">
        <v>426</v>
      </c>
      <c r="J24" s="8">
        <v>522</v>
      </c>
      <c r="K24" s="8">
        <v>32</v>
      </c>
      <c r="L24" s="8"/>
      <c r="M24" s="8"/>
      <c r="N24" s="8"/>
      <c r="O24" s="8"/>
      <c r="P24" s="8"/>
      <c r="Q24" s="8"/>
      <c r="R24" s="8"/>
      <c r="S24" s="8"/>
    </row>
    <row r="25" spans="1:19" ht="17.100000000000001" customHeight="1">
      <c r="A25" s="6" t="s">
        <v>26</v>
      </c>
      <c r="B25" s="7">
        <f t="shared" si="0"/>
        <v>1167</v>
      </c>
      <c r="C25" s="7">
        <v>0</v>
      </c>
      <c r="D25" s="7">
        <v>0</v>
      </c>
      <c r="E25" s="8"/>
      <c r="F25" s="8"/>
      <c r="G25" s="8"/>
      <c r="H25" s="8"/>
      <c r="I25" s="8">
        <v>400</v>
      </c>
      <c r="J25" s="8">
        <v>374.5</v>
      </c>
      <c r="K25" s="8">
        <v>247.5</v>
      </c>
      <c r="L25" s="8">
        <v>50</v>
      </c>
      <c r="M25" s="8">
        <v>55</v>
      </c>
      <c r="N25" s="8">
        <v>40</v>
      </c>
      <c r="O25" s="8"/>
      <c r="P25" s="8"/>
      <c r="Q25" s="8"/>
      <c r="R25" s="8"/>
      <c r="S25" s="8"/>
    </row>
    <row r="26" spans="1:19" ht="17.100000000000001" customHeight="1">
      <c r="A26" s="6" t="s">
        <v>27</v>
      </c>
      <c r="B26" s="7">
        <f t="shared" si="0"/>
        <v>1410.1</v>
      </c>
      <c r="C26" s="7">
        <f>SUM(60+40+80+82)</f>
        <v>262</v>
      </c>
      <c r="D26" s="7">
        <f>SUM(30+83+32)</f>
        <v>145</v>
      </c>
      <c r="E26" s="8">
        <f>SUM(50+53.6+52+51)</f>
        <v>206.6</v>
      </c>
      <c r="F26" s="8">
        <f>SUM(53+54+51+67+45+62+88)</f>
        <v>420</v>
      </c>
      <c r="G26" s="8">
        <v>147</v>
      </c>
      <c r="H26" s="8">
        <v>124.5</v>
      </c>
      <c r="I26" s="8">
        <v>105</v>
      </c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1:19" ht="17.100000000000001" customHeight="1">
      <c r="A27" s="6" t="s">
        <v>28</v>
      </c>
      <c r="B27" s="7">
        <f t="shared" si="0"/>
        <v>1283.45</v>
      </c>
      <c r="C27" s="7">
        <f>SUM(54+53.6+49)</f>
        <v>156.6</v>
      </c>
      <c r="D27" s="7">
        <f>SUM(50+54)</f>
        <v>104</v>
      </c>
      <c r="E27" s="8">
        <f>SUM(52+51+57)</f>
        <v>160</v>
      </c>
      <c r="F27" s="8">
        <f>SUM(81+53+80+80)</f>
        <v>294</v>
      </c>
      <c r="G27" s="8">
        <v>283</v>
      </c>
      <c r="H27" s="8">
        <v>243.85</v>
      </c>
      <c r="I27" s="8">
        <v>42</v>
      </c>
      <c r="J27" s="8"/>
      <c r="K27" s="8"/>
      <c r="L27" s="8"/>
      <c r="M27" s="8"/>
      <c r="N27" s="8"/>
      <c r="O27" s="8"/>
      <c r="P27" s="8"/>
      <c r="Q27" s="8"/>
      <c r="R27" s="8"/>
      <c r="S27" s="8"/>
    </row>
    <row r="28" spans="1:19" ht="17.100000000000001" customHeight="1">
      <c r="A28" s="6" t="s">
        <v>29</v>
      </c>
      <c r="B28" s="7">
        <f t="shared" si="0"/>
        <v>1369.6</v>
      </c>
      <c r="C28" s="7">
        <f>SUM(84+80+80)</f>
        <v>244</v>
      </c>
      <c r="D28" s="7">
        <f>SUM(46+81+80+83+83)</f>
        <v>373</v>
      </c>
      <c r="E28" s="8">
        <f>SUM(50+53.6+84+80+81+85+80+57)</f>
        <v>570.6</v>
      </c>
      <c r="F28" s="8">
        <f>SUM(34+45+51+52)</f>
        <v>182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</row>
    <row r="29" spans="1:19" ht="17.100000000000001" customHeight="1">
      <c r="A29" s="6" t="s">
        <v>30</v>
      </c>
      <c r="B29" s="7">
        <f t="shared" si="0"/>
        <v>1424.4</v>
      </c>
      <c r="C29" s="7">
        <f>SUM(55+80+120+80)</f>
        <v>335</v>
      </c>
      <c r="D29" s="7">
        <f>SUM(81+120+67+83+52+120)</f>
        <v>523</v>
      </c>
      <c r="E29" s="8">
        <f>SUM(80.4+52+31+67+80+85)</f>
        <v>395.4</v>
      </c>
      <c r="F29" s="8">
        <f>SUM(80)</f>
        <v>80</v>
      </c>
      <c r="G29" s="8">
        <f>SUM(41+50)</f>
        <v>91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</row>
    <row r="30" spans="1:19" ht="17.100000000000001" customHeight="1">
      <c r="A30" s="6" t="s">
        <v>31</v>
      </c>
      <c r="B30" s="7">
        <f t="shared" si="0"/>
        <v>1039.3499999999999</v>
      </c>
      <c r="C30" s="7">
        <v>0</v>
      </c>
      <c r="D30" s="7">
        <v>0</v>
      </c>
      <c r="E30" s="8"/>
      <c r="F30" s="8"/>
      <c r="G30" s="8">
        <v>300.5</v>
      </c>
      <c r="H30" s="8">
        <v>382.85</v>
      </c>
      <c r="I30" s="8">
        <v>116</v>
      </c>
      <c r="J30" s="8">
        <v>240</v>
      </c>
      <c r="K30" s="8"/>
      <c r="L30" s="8"/>
      <c r="M30" s="8"/>
      <c r="N30" s="8"/>
      <c r="O30" s="8"/>
      <c r="P30" s="8"/>
      <c r="Q30" s="8"/>
      <c r="R30" s="8"/>
      <c r="S30" s="8"/>
    </row>
    <row r="31" spans="1:19" ht="17.100000000000001" customHeight="1">
      <c r="A31" s="6" t="s">
        <v>32</v>
      </c>
      <c r="B31" s="7">
        <f t="shared" si="0"/>
        <v>1017.2</v>
      </c>
      <c r="C31" s="7">
        <v>0</v>
      </c>
      <c r="D31" s="7">
        <v>0</v>
      </c>
      <c r="E31" s="8">
        <f>SUM(80.4+34+120+49.6+59+81)</f>
        <v>424</v>
      </c>
      <c r="F31" s="8">
        <f>SUM(80+86.2+51+80)</f>
        <v>297.2</v>
      </c>
      <c r="G31" s="9">
        <f>SUM(60+52.5+60+81)</f>
        <v>253.5</v>
      </c>
      <c r="H31" s="9">
        <f>SUM(42.5)</f>
        <v>42.5</v>
      </c>
    </row>
    <row r="32" spans="1:19" ht="17.100000000000001" customHeight="1">
      <c r="A32" s="6" t="s">
        <v>33</v>
      </c>
      <c r="B32" s="7">
        <f t="shared" si="0"/>
        <v>1401.5</v>
      </c>
      <c r="C32" s="7">
        <f>SUM(54+120+120+50+80)</f>
        <v>424</v>
      </c>
      <c r="D32" s="7">
        <f>SUM(46+50+80+42.4+55.5+120+84)</f>
        <v>477.9</v>
      </c>
      <c r="E32" s="8">
        <f>SUM(50+53.6+53+80+67+51+81)</f>
        <v>435.6</v>
      </c>
      <c r="F32" s="8">
        <f>SUM(30+34)</f>
        <v>64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</row>
    <row r="33" spans="1:19" ht="17.100000000000001" customHeight="1">
      <c r="A33" s="6" t="s">
        <v>34</v>
      </c>
      <c r="B33" s="7">
        <f t="shared" si="0"/>
        <v>1239.5</v>
      </c>
      <c r="C33" s="7">
        <f>SUM(53.6+80+80+82)</f>
        <v>295.60000000000002</v>
      </c>
      <c r="D33" s="7">
        <f>SUM(54+80+52+67+56)</f>
        <v>309</v>
      </c>
      <c r="E33" s="8">
        <f>SUM(80.4+80+67+84+57)</f>
        <v>368.4</v>
      </c>
      <c r="F33" s="8">
        <f>SUM(54+67+51+52)</f>
        <v>224</v>
      </c>
      <c r="G33" s="8">
        <f>SUM(42.5)</f>
        <v>42.5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ht="17.100000000000001" customHeight="1">
      <c r="A34" s="6" t="s">
        <v>35</v>
      </c>
      <c r="B34" s="7">
        <f t="shared" si="0"/>
        <v>1025</v>
      </c>
      <c r="C34" s="7">
        <f>SUM(53.6+55)</f>
        <v>108.6</v>
      </c>
      <c r="D34" s="7">
        <v>0</v>
      </c>
      <c r="E34" s="8">
        <f>SUM(50+80.4+53+52+50+67+85+81)</f>
        <v>518.4</v>
      </c>
      <c r="F34" s="8">
        <f>SUM(53+51+67+45+88+52)</f>
        <v>356</v>
      </c>
      <c r="G34" s="8">
        <f>SUM(42)</f>
        <v>42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19" ht="17.100000000000001" customHeight="1">
      <c r="A35" s="6" t="s">
        <v>36</v>
      </c>
      <c r="B35" s="7">
        <f t="shared" si="0"/>
        <v>914</v>
      </c>
      <c r="C35" s="7">
        <v>0</v>
      </c>
      <c r="D35" s="7">
        <v>0</v>
      </c>
      <c r="E35" s="8"/>
      <c r="F35" s="8"/>
      <c r="G35" s="8"/>
      <c r="H35" s="8"/>
      <c r="I35" s="8"/>
      <c r="J35" s="8">
        <v>44</v>
      </c>
      <c r="K35" s="8">
        <v>98</v>
      </c>
      <c r="L35" s="8">
        <v>280</v>
      </c>
      <c r="M35" s="8">
        <v>252</v>
      </c>
      <c r="N35" s="8">
        <v>240</v>
      </c>
      <c r="O35" s="8"/>
      <c r="P35" s="8"/>
      <c r="Q35" s="8"/>
      <c r="R35" s="8"/>
      <c r="S35" s="8"/>
    </row>
    <row r="36" spans="1:19" ht="17.100000000000001" customHeight="1">
      <c r="A36" s="6" t="s">
        <v>37</v>
      </c>
      <c r="B36" s="7">
        <f t="shared" si="0"/>
        <v>1246</v>
      </c>
      <c r="C36" s="7">
        <f>SUM(55+80+50+120+80)</f>
        <v>385</v>
      </c>
      <c r="D36" s="7">
        <f>SUM(54+80+67+52+120+84)</f>
        <v>457</v>
      </c>
      <c r="E36" s="8">
        <f>SUM(50+84+80+67+84)</f>
        <v>365</v>
      </c>
      <c r="F36" s="8">
        <f>SUM(39)</f>
        <v>39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spans="1:19" ht="17.100000000000001" customHeight="1">
      <c r="A37" s="6" t="s">
        <v>38</v>
      </c>
      <c r="B37" s="7">
        <f t="shared" si="0"/>
        <v>843.6</v>
      </c>
      <c r="C37" s="7">
        <v>0</v>
      </c>
      <c r="D37" s="7">
        <f>SUM(46+35+54+50+83+52)</f>
        <v>320</v>
      </c>
      <c r="E37" s="8">
        <f>SUM(31.6+53+51+81)</f>
        <v>216.6</v>
      </c>
      <c r="F37" s="8">
        <f>SUM(30+34+45+51+52)</f>
        <v>212</v>
      </c>
      <c r="G37" s="8">
        <v>95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1:19" ht="17.100000000000001" customHeight="1">
      <c r="A38" s="6" t="s">
        <v>39</v>
      </c>
      <c r="B38" s="7">
        <f t="shared" si="0"/>
        <v>1256</v>
      </c>
      <c r="C38" s="7">
        <f>SUM(80+120+160+82)</f>
        <v>442</v>
      </c>
      <c r="D38" s="7">
        <f>SUM(81)</f>
        <v>81</v>
      </c>
      <c r="E38" s="8">
        <f>SUM(52)</f>
        <v>52</v>
      </c>
      <c r="F38" s="8">
        <f>SUM(81+120+84)</f>
        <v>285</v>
      </c>
      <c r="G38" s="8">
        <v>161.5</v>
      </c>
      <c r="H38" s="8">
        <v>234.5</v>
      </c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</row>
    <row r="39" spans="1:19" ht="17.100000000000001" customHeight="1">
      <c r="A39" s="6" t="s">
        <v>40</v>
      </c>
      <c r="B39" s="7">
        <f t="shared" si="0"/>
        <v>801.35</v>
      </c>
      <c r="C39" s="7">
        <v>0</v>
      </c>
      <c r="D39" s="7">
        <v>0</v>
      </c>
      <c r="E39" s="8"/>
      <c r="F39" s="8"/>
      <c r="G39" s="8">
        <v>52.5</v>
      </c>
      <c r="H39" s="8">
        <v>433.85</v>
      </c>
      <c r="I39" s="8">
        <v>281</v>
      </c>
      <c r="J39" s="8">
        <v>34</v>
      </c>
      <c r="K39" s="8"/>
      <c r="L39" s="8"/>
      <c r="M39" s="8"/>
      <c r="N39" s="8"/>
      <c r="O39" s="8"/>
      <c r="P39" s="8"/>
      <c r="Q39" s="8"/>
      <c r="R39" s="8"/>
      <c r="S39" s="8"/>
    </row>
    <row r="40" spans="1:19" ht="17.100000000000001" customHeight="1">
      <c r="A40" s="10" t="s">
        <v>41</v>
      </c>
      <c r="B40" s="7">
        <f t="shared" si="0"/>
        <v>947</v>
      </c>
      <c r="C40" s="7">
        <f>SUM(120+50)</f>
        <v>170</v>
      </c>
      <c r="D40" s="7">
        <f>SUM(54+80+85+120)</f>
        <v>339</v>
      </c>
      <c r="E40" s="8">
        <f>SUM(50+53+81+84+81)</f>
        <v>349</v>
      </c>
      <c r="F40" s="8">
        <f>SUM(37+52)</f>
        <v>89</v>
      </c>
    </row>
    <row r="41" spans="1:19" ht="17.100000000000001" customHeight="1">
      <c r="A41" s="6" t="s">
        <v>42</v>
      </c>
      <c r="B41" s="7">
        <f t="shared" si="0"/>
        <v>675.35</v>
      </c>
      <c r="C41" s="7">
        <v>0</v>
      </c>
      <c r="D41" s="7">
        <v>0</v>
      </c>
      <c r="E41" s="8">
        <f>SUM(34)</f>
        <v>34</v>
      </c>
      <c r="F41" s="8">
        <f>SUM(30+34+34)</f>
        <v>98</v>
      </c>
      <c r="G41" s="8">
        <v>103.5</v>
      </c>
      <c r="H41" s="8">
        <v>439.85</v>
      </c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1:19" ht="17.100000000000001" customHeight="1">
      <c r="A42" s="6" t="s">
        <v>43</v>
      </c>
      <c r="B42" s="7">
        <f t="shared" si="0"/>
        <v>914</v>
      </c>
      <c r="C42" s="7">
        <f>SUM(30+120+50+40)</f>
        <v>240</v>
      </c>
      <c r="D42" s="7">
        <f>SUM(46+81+80+52+40.5+32)</f>
        <v>331.5</v>
      </c>
      <c r="E42" s="8">
        <f>SUM(34+50+52)</f>
        <v>136</v>
      </c>
      <c r="F42" s="8">
        <f>SUM(30+53+80)</f>
        <v>163</v>
      </c>
      <c r="G42" s="8">
        <v>43.5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spans="1:19" ht="17.100000000000001" customHeight="1">
      <c r="A43" s="6" t="s">
        <v>44</v>
      </c>
      <c r="B43" s="7">
        <f t="shared" si="0"/>
        <v>668</v>
      </c>
      <c r="C43" s="7">
        <v>0</v>
      </c>
      <c r="D43" s="7">
        <v>0</v>
      </c>
      <c r="E43" s="8"/>
      <c r="F43" s="8"/>
      <c r="G43" s="8"/>
      <c r="H43" s="8"/>
      <c r="I43" s="8"/>
      <c r="J43" s="8"/>
      <c r="K43" s="8">
        <v>207</v>
      </c>
      <c r="L43" s="8">
        <v>236</v>
      </c>
      <c r="M43" s="8">
        <v>225</v>
      </c>
      <c r="N43" s="8"/>
      <c r="O43" s="8"/>
      <c r="P43" s="8"/>
      <c r="Q43" s="8"/>
      <c r="R43" s="8"/>
      <c r="S43" s="8"/>
    </row>
    <row r="44" spans="1:19" ht="17.100000000000001" customHeight="1">
      <c r="A44" s="10" t="s">
        <v>45</v>
      </c>
      <c r="B44" s="7">
        <f t="shared" si="0"/>
        <v>823.5</v>
      </c>
      <c r="C44" s="7">
        <f>SUM(54+120)</f>
        <v>174</v>
      </c>
      <c r="D44" s="7">
        <f>SUM(46+80+85+55.5+80)</f>
        <v>346.5</v>
      </c>
      <c r="E44" s="8">
        <f>SUM(42+50+67+85+59)</f>
        <v>303</v>
      </c>
      <c r="F44" s="9"/>
    </row>
    <row r="45" spans="1:19" ht="17.100000000000001" customHeight="1">
      <c r="A45" s="6" t="s">
        <v>46</v>
      </c>
      <c r="B45" s="7">
        <f t="shared" si="0"/>
        <v>681.4</v>
      </c>
      <c r="C45" s="7">
        <f>SUM(54)</f>
        <v>54</v>
      </c>
      <c r="D45" s="7">
        <f>SUM(52+67)</f>
        <v>119</v>
      </c>
      <c r="E45" s="8">
        <f>SUM(80.4+84+85+81)</f>
        <v>330.4</v>
      </c>
      <c r="F45" s="8">
        <f>SUM(30+45+51+52)</f>
        <v>178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19" ht="17.100000000000001" customHeight="1">
      <c r="A46" s="6" t="s">
        <v>47</v>
      </c>
      <c r="B46" s="7">
        <f t="shared" si="0"/>
        <v>615</v>
      </c>
      <c r="C46" s="7">
        <v>0</v>
      </c>
      <c r="D46" s="7">
        <v>0</v>
      </c>
      <c r="E46" s="8"/>
      <c r="F46" s="8">
        <f>SUM(30)</f>
        <v>30</v>
      </c>
      <c r="G46" s="8">
        <v>112.5</v>
      </c>
      <c r="H46" s="8"/>
      <c r="I46" s="8">
        <v>219.5</v>
      </c>
      <c r="J46" s="8">
        <v>162</v>
      </c>
      <c r="K46" s="8">
        <v>91</v>
      </c>
      <c r="L46" s="8"/>
      <c r="M46" s="8"/>
      <c r="N46" s="8"/>
      <c r="O46" s="8"/>
      <c r="P46" s="8"/>
      <c r="Q46" s="8"/>
      <c r="R46" s="8"/>
      <c r="S46" s="8"/>
    </row>
    <row r="47" spans="1:19" ht="17.100000000000001" customHeight="1">
      <c r="A47" s="6" t="s">
        <v>48</v>
      </c>
      <c r="B47" s="7">
        <f t="shared" si="0"/>
        <v>926.2</v>
      </c>
      <c r="C47" s="7">
        <f>SUM(53.6+80+120+82)</f>
        <v>335.6</v>
      </c>
      <c r="D47" s="7">
        <f>SUM(54+80+83+84)</f>
        <v>301</v>
      </c>
      <c r="E47" s="8">
        <f>SUM(53.6+84)</f>
        <v>137.6</v>
      </c>
      <c r="F47" s="8">
        <f>SUM(34+67+51)</f>
        <v>152</v>
      </c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  <row r="48" spans="1:19" ht="17.100000000000001" customHeight="1">
      <c r="A48" s="6" t="s">
        <v>49</v>
      </c>
      <c r="B48" s="7">
        <f t="shared" si="0"/>
        <v>587.5</v>
      </c>
      <c r="C48" s="7">
        <v>0</v>
      </c>
      <c r="D48" s="7">
        <v>0</v>
      </c>
      <c r="E48" s="8"/>
      <c r="F48" s="8"/>
      <c r="G48" s="8"/>
      <c r="H48" s="8"/>
      <c r="I48" s="8">
        <v>137.5</v>
      </c>
      <c r="J48" s="8">
        <v>85</v>
      </c>
      <c r="K48" s="8">
        <v>168</v>
      </c>
      <c r="L48" s="8"/>
      <c r="M48" s="8">
        <v>157</v>
      </c>
      <c r="N48" s="8">
        <v>40</v>
      </c>
      <c r="O48" s="8"/>
      <c r="P48" s="8"/>
      <c r="Q48" s="8"/>
      <c r="R48" s="8"/>
      <c r="S48" s="8"/>
    </row>
    <row r="49" spans="1:19" ht="17.100000000000001" customHeight="1">
      <c r="A49" s="6" t="s">
        <v>50</v>
      </c>
      <c r="B49" s="7">
        <f t="shared" si="0"/>
        <v>579</v>
      </c>
      <c r="C49" s="7">
        <v>0</v>
      </c>
      <c r="D49" s="7">
        <v>0</v>
      </c>
      <c r="E49" s="8"/>
      <c r="F49" s="8"/>
      <c r="G49" s="8"/>
      <c r="H49" s="8"/>
      <c r="I49" s="8"/>
      <c r="J49" s="8"/>
      <c r="K49" s="8">
        <v>59</v>
      </c>
      <c r="L49" s="8">
        <v>363</v>
      </c>
      <c r="M49" s="8">
        <v>123</v>
      </c>
      <c r="N49" s="8">
        <v>34</v>
      </c>
      <c r="O49" s="8"/>
      <c r="P49" s="8"/>
      <c r="Q49" s="8"/>
      <c r="R49" s="8"/>
      <c r="S49" s="8"/>
    </row>
    <row r="50" spans="1:19" ht="17.100000000000001" customHeight="1">
      <c r="A50" s="6" t="s">
        <v>51</v>
      </c>
      <c r="B50" s="7">
        <f t="shared" si="0"/>
        <v>573.29999999999995</v>
      </c>
      <c r="C50" s="7">
        <v>0</v>
      </c>
      <c r="D50" s="7">
        <v>0</v>
      </c>
      <c r="E50" s="8"/>
      <c r="F50" s="8"/>
      <c r="G50" s="8"/>
      <c r="H50" s="8"/>
      <c r="I50" s="8"/>
      <c r="J50" s="8">
        <v>326.3</v>
      </c>
      <c r="K50" s="8">
        <v>164</v>
      </c>
      <c r="L50" s="8">
        <v>53</v>
      </c>
      <c r="M50" s="8">
        <v>30</v>
      </c>
      <c r="N50" s="8"/>
      <c r="O50" s="8"/>
      <c r="P50" s="8"/>
      <c r="Q50" s="8"/>
      <c r="R50" s="8"/>
      <c r="S50" s="8"/>
    </row>
    <row r="51" spans="1:19" ht="17.100000000000001" customHeight="1">
      <c r="A51" s="6" t="s">
        <v>52</v>
      </c>
      <c r="B51" s="7">
        <f t="shared" si="0"/>
        <v>557</v>
      </c>
      <c r="C51" s="7">
        <v>0</v>
      </c>
      <c r="D51" s="7">
        <f>SUM(30+50+32+34+32)</f>
        <v>178</v>
      </c>
      <c r="E51" s="8">
        <f>SUM(30+53+51+57)</f>
        <v>191</v>
      </c>
      <c r="F51" s="8">
        <f>SUM(30+53+34+37+34)</f>
        <v>188</v>
      </c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</row>
    <row r="52" spans="1:19" ht="17.100000000000001" customHeight="1">
      <c r="A52" s="10" t="s">
        <v>53</v>
      </c>
      <c r="B52" s="7">
        <f t="shared" si="0"/>
        <v>677.5</v>
      </c>
      <c r="C52" s="7">
        <f>SUM(40+82)</f>
        <v>122</v>
      </c>
      <c r="D52" s="7">
        <f>SUM(50+83+42.4+40.5+80+44+84)</f>
        <v>423.9</v>
      </c>
      <c r="E52" s="9">
        <f>SUM(31+49.6+51)</f>
        <v>131.6</v>
      </c>
      <c r="F52" s="9"/>
    </row>
    <row r="53" spans="1:19" ht="17.100000000000001" customHeight="1">
      <c r="A53" s="6" t="s">
        <v>54</v>
      </c>
      <c r="B53" s="7">
        <f t="shared" si="0"/>
        <v>534</v>
      </c>
      <c r="C53" s="7">
        <v>0</v>
      </c>
      <c r="D53" s="7">
        <v>0</v>
      </c>
      <c r="E53" s="8"/>
      <c r="F53" s="8"/>
      <c r="G53" s="8"/>
      <c r="H53" s="8"/>
      <c r="I53" s="8"/>
      <c r="J53" s="8"/>
      <c r="K53" s="8"/>
      <c r="L53" s="8"/>
      <c r="M53" s="8">
        <v>85</v>
      </c>
      <c r="N53" s="8">
        <v>129</v>
      </c>
      <c r="O53" s="8"/>
      <c r="P53" s="8"/>
      <c r="Q53" s="8">
        <v>50</v>
      </c>
      <c r="R53" s="8">
        <v>160</v>
      </c>
      <c r="S53" s="8">
        <v>110</v>
      </c>
    </row>
    <row r="54" spans="1:19" ht="17.100000000000001" customHeight="1">
      <c r="A54" s="6" t="s">
        <v>55</v>
      </c>
      <c r="B54" s="7">
        <f t="shared" si="0"/>
        <v>522</v>
      </c>
      <c r="C54" s="7">
        <v>0</v>
      </c>
      <c r="D54" s="7">
        <v>0</v>
      </c>
      <c r="E54" s="8"/>
      <c r="F54" s="8"/>
      <c r="G54" s="8"/>
      <c r="H54" s="8"/>
      <c r="I54" s="8"/>
      <c r="J54" s="8">
        <v>301</v>
      </c>
      <c r="K54" s="8">
        <v>221</v>
      </c>
      <c r="L54" s="8"/>
      <c r="M54" s="8"/>
      <c r="N54" s="8"/>
      <c r="O54" s="8"/>
      <c r="P54" s="8"/>
      <c r="Q54" s="8"/>
      <c r="R54" s="8"/>
      <c r="S54" s="8"/>
    </row>
    <row r="55" spans="1:19" ht="17.100000000000001" customHeight="1">
      <c r="A55" s="6" t="s">
        <v>56</v>
      </c>
      <c r="B55" s="7">
        <f t="shared" si="0"/>
        <v>517.6</v>
      </c>
      <c r="C55" s="7">
        <v>0</v>
      </c>
      <c r="D55" s="7">
        <v>0</v>
      </c>
      <c r="E55" s="8">
        <f>SUM(31.6+52+57)</f>
        <v>140.6</v>
      </c>
      <c r="F55" s="8">
        <f>SUM(34)</f>
        <v>34</v>
      </c>
      <c r="G55" s="8"/>
      <c r="H55" s="8"/>
      <c r="I55" s="8">
        <v>47</v>
      </c>
      <c r="J55" s="8">
        <v>162</v>
      </c>
      <c r="K55" s="8"/>
      <c r="L55" s="8">
        <v>134</v>
      </c>
      <c r="M55" s="8"/>
      <c r="N55" s="8"/>
      <c r="O55" s="8"/>
      <c r="P55" s="8"/>
      <c r="Q55" s="8"/>
      <c r="R55" s="8"/>
      <c r="S55" s="8"/>
    </row>
    <row r="56" spans="1:19" ht="17.100000000000001" customHeight="1">
      <c r="A56" s="10" t="s">
        <v>57</v>
      </c>
      <c r="B56" s="7">
        <f t="shared" si="0"/>
        <v>966.2</v>
      </c>
      <c r="C56" s="7">
        <f>SUM(54+53.6+49+120+50+122)</f>
        <v>448.6</v>
      </c>
      <c r="D56" s="7">
        <f>SUM(35+83+52+80)</f>
        <v>250</v>
      </c>
      <c r="E56" s="9">
        <f>SUM(30+53.6+52+81+51)</f>
        <v>267.60000000000002</v>
      </c>
      <c r="F56" s="9"/>
    </row>
    <row r="57" spans="1:19" ht="17.100000000000001" customHeight="1">
      <c r="A57" s="6" t="s">
        <v>58</v>
      </c>
      <c r="B57" s="7">
        <f t="shared" si="0"/>
        <v>509.5</v>
      </c>
      <c r="C57" s="7">
        <v>0</v>
      </c>
      <c r="D57" s="7">
        <v>0</v>
      </c>
      <c r="E57" s="8">
        <f>SUM(34+52+50+39+89+81+81)</f>
        <v>426</v>
      </c>
      <c r="F57" s="8">
        <f>SUM(38.5)</f>
        <v>38.5</v>
      </c>
      <c r="G57" s="8">
        <v>45</v>
      </c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</row>
    <row r="58" spans="1:19" ht="17.100000000000001" customHeight="1">
      <c r="A58" s="6" t="s">
        <v>59</v>
      </c>
      <c r="B58" s="7">
        <f t="shared" si="0"/>
        <v>505</v>
      </c>
      <c r="C58" s="7">
        <v>0</v>
      </c>
      <c r="D58" s="7">
        <f>SUM(32)</f>
        <v>32</v>
      </c>
      <c r="E58" s="8">
        <f>SUM(50)</f>
        <v>50</v>
      </c>
      <c r="F58" s="8">
        <f>SUM(30+34+34)</f>
        <v>98</v>
      </c>
      <c r="G58" s="8">
        <v>42.5</v>
      </c>
      <c r="H58" s="8">
        <v>46.5</v>
      </c>
      <c r="I58" s="8">
        <v>165</v>
      </c>
      <c r="J58" s="8"/>
      <c r="K58" s="8">
        <v>71</v>
      </c>
      <c r="L58" s="8"/>
      <c r="M58" s="8"/>
      <c r="N58" s="8"/>
      <c r="O58" s="8"/>
      <c r="P58" s="8"/>
      <c r="Q58" s="8"/>
      <c r="R58" s="8"/>
      <c r="S58" s="8"/>
    </row>
    <row r="59" spans="1:19" ht="17.100000000000001" customHeight="1">
      <c r="A59" s="10" t="s">
        <v>60</v>
      </c>
      <c r="B59" s="7">
        <f t="shared" si="0"/>
        <v>501.9</v>
      </c>
      <c r="C59" s="7">
        <v>0</v>
      </c>
      <c r="D59" s="7">
        <f>SUM(50+82.4+83+40.5+80+32)</f>
        <v>367.9</v>
      </c>
      <c r="E59" s="9">
        <f>SUM(31+52+51)</f>
        <v>134</v>
      </c>
      <c r="F59" s="9"/>
    </row>
    <row r="60" spans="1:19" ht="17.100000000000001" customHeight="1">
      <c r="A60" s="6" t="s">
        <v>61</v>
      </c>
      <c r="B60" s="7">
        <f t="shared" si="0"/>
        <v>500</v>
      </c>
      <c r="C60" s="7">
        <v>0</v>
      </c>
      <c r="D60" s="7">
        <f>SUM(46+55.5)</f>
        <v>101.5</v>
      </c>
      <c r="E60" s="8"/>
      <c r="F60" s="8">
        <f>SUM(32+53+54+80+51+34)</f>
        <v>304</v>
      </c>
      <c r="G60" s="8">
        <v>52.5</v>
      </c>
      <c r="H60" s="8">
        <v>42</v>
      </c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</row>
    <row r="61" spans="1:19" ht="17.100000000000001" customHeight="1">
      <c r="A61" s="6" t="s">
        <v>62</v>
      </c>
      <c r="B61" s="7">
        <f t="shared" si="0"/>
        <v>500</v>
      </c>
      <c r="C61" s="7">
        <v>0</v>
      </c>
      <c r="D61" s="7">
        <v>0</v>
      </c>
      <c r="E61" s="8"/>
      <c r="F61" s="8"/>
      <c r="G61" s="8"/>
      <c r="H61" s="8"/>
      <c r="I61" s="8"/>
      <c r="J61" s="8"/>
      <c r="K61" s="8"/>
      <c r="L61" s="8"/>
      <c r="M61" s="8"/>
      <c r="N61" s="8">
        <v>107</v>
      </c>
      <c r="O61" s="8">
        <v>131</v>
      </c>
      <c r="P61" s="8">
        <v>82</v>
      </c>
      <c r="Q61" s="8">
        <v>180</v>
      </c>
      <c r="R61" s="8"/>
      <c r="S61" s="8"/>
    </row>
    <row r="62" spans="1:19" ht="17.100000000000001" customHeight="1">
      <c r="A62" s="6" t="s">
        <v>63</v>
      </c>
      <c r="B62" s="7">
        <f t="shared" si="0"/>
        <v>491</v>
      </c>
      <c r="C62" s="7">
        <v>0</v>
      </c>
      <c r="D62" s="7">
        <v>0</v>
      </c>
      <c r="E62" s="8">
        <f>SUM(81+80+100)</f>
        <v>261</v>
      </c>
      <c r="F62" s="8">
        <f>SUM(50+65+81)</f>
        <v>196</v>
      </c>
      <c r="G62" s="8">
        <f>SUM(34)</f>
        <v>34</v>
      </c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</row>
    <row r="63" spans="1:19" s="9" customFormat="1" ht="17.100000000000001" customHeight="1">
      <c r="A63" s="6" t="s">
        <v>64</v>
      </c>
      <c r="B63" s="7">
        <f t="shared" si="0"/>
        <v>484.85</v>
      </c>
      <c r="C63" s="7">
        <v>0</v>
      </c>
      <c r="D63" s="7">
        <v>0</v>
      </c>
      <c r="E63" s="8"/>
      <c r="F63" s="8"/>
      <c r="G63" s="8"/>
      <c r="H63" s="8">
        <v>386.35</v>
      </c>
      <c r="I63" s="8">
        <v>98.5</v>
      </c>
      <c r="J63" s="8"/>
      <c r="K63" s="8"/>
      <c r="L63" s="8"/>
      <c r="M63" s="8"/>
      <c r="N63" s="8"/>
      <c r="O63" s="8"/>
      <c r="P63" s="8"/>
      <c r="Q63" s="8"/>
      <c r="R63" s="8"/>
      <c r="S63" s="8"/>
    </row>
    <row r="64" spans="1:19" ht="17.100000000000001" customHeight="1">
      <c r="A64" s="10" t="s">
        <v>65</v>
      </c>
      <c r="B64" s="7">
        <f t="shared" si="0"/>
        <v>757.5</v>
      </c>
      <c r="C64" s="7">
        <f>SUM(120+80+80)</f>
        <v>280</v>
      </c>
      <c r="D64" s="7">
        <f>SUM(54+83+40.5+80)</f>
        <v>257.5</v>
      </c>
      <c r="E64" s="8">
        <f>SUM(31+67+51)</f>
        <v>149</v>
      </c>
      <c r="F64" s="8">
        <f>SUM(37+34)</f>
        <v>71</v>
      </c>
    </row>
    <row r="65" spans="1:19" ht="17.100000000000001" customHeight="1">
      <c r="A65" s="6" t="s">
        <v>66</v>
      </c>
      <c r="B65" s="7">
        <f t="shared" si="0"/>
        <v>609</v>
      </c>
      <c r="C65" s="7">
        <f>SUM(54+80)</f>
        <v>134</v>
      </c>
      <c r="D65" s="7">
        <f>SUM(46)</f>
        <v>46</v>
      </c>
      <c r="E65" s="8">
        <f>SUM(53+80+50+67)</f>
        <v>250</v>
      </c>
      <c r="F65" s="8">
        <f>SUM(32+51+45+51)</f>
        <v>179</v>
      </c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</row>
    <row r="66" spans="1:19" ht="17.100000000000001" customHeight="1">
      <c r="A66" s="6" t="s">
        <v>67</v>
      </c>
      <c r="B66" s="7">
        <f t="shared" ref="B66:B129" si="1">SUM(C66:U66)</f>
        <v>470.7</v>
      </c>
      <c r="C66" s="7">
        <v>0</v>
      </c>
      <c r="D66" s="7">
        <v>0</v>
      </c>
      <c r="E66" s="8"/>
      <c r="F66" s="8"/>
      <c r="G66" s="8"/>
      <c r="H66" s="8">
        <v>290.7</v>
      </c>
      <c r="I66" s="8">
        <v>180</v>
      </c>
      <c r="J66" s="8"/>
      <c r="K66" s="8"/>
      <c r="L66" s="8"/>
      <c r="M66" s="8"/>
      <c r="N66" s="8"/>
      <c r="O66" s="8"/>
      <c r="P66" s="8"/>
      <c r="Q66" s="8"/>
      <c r="R66" s="8"/>
      <c r="S66" s="8"/>
    </row>
    <row r="67" spans="1:19" ht="17.100000000000001" customHeight="1">
      <c r="A67" s="6" t="s">
        <v>68</v>
      </c>
      <c r="B67" s="7">
        <f t="shared" si="1"/>
        <v>469</v>
      </c>
      <c r="C67" s="7">
        <v>0</v>
      </c>
      <c r="D67" s="7">
        <v>0</v>
      </c>
      <c r="E67" s="8"/>
      <c r="F67" s="8"/>
      <c r="G67" s="8"/>
      <c r="H67" s="8"/>
      <c r="I67" s="8"/>
      <c r="J67" s="8"/>
      <c r="K67" s="8">
        <v>136</v>
      </c>
      <c r="L67" s="8">
        <v>38</v>
      </c>
      <c r="M67" s="8">
        <v>295</v>
      </c>
      <c r="N67" s="8"/>
      <c r="O67" s="8"/>
      <c r="P67" s="8"/>
      <c r="Q67" s="8"/>
      <c r="R67" s="8"/>
      <c r="S67" s="8"/>
    </row>
    <row r="68" spans="1:19" ht="17.100000000000001" customHeight="1">
      <c r="A68" s="6" t="s">
        <v>69</v>
      </c>
      <c r="B68" s="7">
        <f t="shared" si="1"/>
        <v>435.5</v>
      </c>
      <c r="C68" s="7">
        <v>0</v>
      </c>
      <c r="D68" s="7">
        <v>0</v>
      </c>
      <c r="E68" s="8"/>
      <c r="F68" s="8"/>
      <c r="G68" s="8">
        <v>52.5</v>
      </c>
      <c r="H68" s="8">
        <v>42</v>
      </c>
      <c r="I68" s="8"/>
      <c r="J68" s="8"/>
      <c r="K68" s="8">
        <v>59</v>
      </c>
      <c r="L68" s="8">
        <v>129</v>
      </c>
      <c r="M68" s="8">
        <v>40</v>
      </c>
      <c r="N68" s="8">
        <v>113</v>
      </c>
      <c r="O68" s="8"/>
      <c r="P68" s="8"/>
      <c r="Q68" s="8"/>
      <c r="R68" s="8"/>
      <c r="S68" s="8"/>
    </row>
    <row r="69" spans="1:19" ht="17.100000000000001" customHeight="1">
      <c r="A69" s="6" t="s">
        <v>70</v>
      </c>
      <c r="B69" s="7">
        <f t="shared" si="1"/>
        <v>435</v>
      </c>
      <c r="C69" s="7">
        <v>0</v>
      </c>
      <c r="D69" s="7">
        <v>0</v>
      </c>
      <c r="E69" s="8"/>
      <c r="F69" s="8"/>
      <c r="G69" s="8"/>
      <c r="H69" s="8"/>
      <c r="I69" s="8"/>
      <c r="J69" s="8"/>
      <c r="K69" s="8">
        <v>364</v>
      </c>
      <c r="L69" s="8">
        <v>71</v>
      </c>
      <c r="M69" s="8"/>
      <c r="N69" s="8"/>
      <c r="O69" s="8"/>
      <c r="P69" s="8"/>
      <c r="Q69" s="8"/>
      <c r="R69" s="8"/>
      <c r="S69" s="8"/>
    </row>
    <row r="70" spans="1:19" s="9" customFormat="1" ht="17.100000000000001" customHeight="1">
      <c r="A70" s="6" t="s">
        <v>71</v>
      </c>
      <c r="B70" s="7">
        <f t="shared" si="1"/>
        <v>406.3</v>
      </c>
      <c r="C70" s="7">
        <v>0</v>
      </c>
      <c r="D70" s="7">
        <f>SUM(42.4+100)</f>
        <v>142.4</v>
      </c>
      <c r="E70" s="8">
        <f>SUM(45.9+48.4+49.6+81)</f>
        <v>224.9</v>
      </c>
      <c r="F70" s="8">
        <f>SUM(39)</f>
        <v>39</v>
      </c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</row>
    <row r="71" spans="1:19" ht="17.100000000000001" customHeight="1">
      <c r="A71" s="6" t="s">
        <v>72</v>
      </c>
      <c r="B71" s="7">
        <f t="shared" si="1"/>
        <v>398.5</v>
      </c>
      <c r="C71" s="7">
        <v>0</v>
      </c>
      <c r="D71" s="7">
        <f>SUM(40.5)</f>
        <v>40.5</v>
      </c>
      <c r="E71" s="8">
        <f>SUM(30+53+50+51+57)</f>
        <v>241</v>
      </c>
      <c r="F71" s="8">
        <f>SUM(30+53+34)</f>
        <v>117</v>
      </c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</row>
    <row r="72" spans="1:19" ht="17.100000000000001" customHeight="1">
      <c r="A72" s="10" t="s">
        <v>73</v>
      </c>
      <c r="B72" s="7">
        <f t="shared" si="1"/>
        <v>652.1</v>
      </c>
      <c r="C72" s="7">
        <f>SUM(53.6+80+120)</f>
        <v>253.6</v>
      </c>
      <c r="D72" s="7">
        <f>SUM(54+80+85+55.5+56)</f>
        <v>330.5</v>
      </c>
      <c r="E72" s="9">
        <f>SUM(34+34)</f>
        <v>68</v>
      </c>
      <c r="F72" s="9"/>
    </row>
    <row r="73" spans="1:19" s="9" customFormat="1" ht="17.100000000000001" customHeight="1">
      <c r="A73" s="10" t="s">
        <v>74</v>
      </c>
      <c r="B73" s="7">
        <f t="shared" si="1"/>
        <v>460.80000000000007</v>
      </c>
      <c r="C73" s="7">
        <f>SUM(80)</f>
        <v>80</v>
      </c>
      <c r="D73" s="7">
        <f>SUM(42.4+42.4+83+82.4+100)</f>
        <v>350.20000000000005</v>
      </c>
      <c r="E73" s="8">
        <f>SUM(30.6)</f>
        <v>30.6</v>
      </c>
    </row>
    <row r="74" spans="1:19" ht="17.100000000000001" customHeight="1">
      <c r="A74" s="10" t="s">
        <v>75</v>
      </c>
      <c r="B74" s="7">
        <f t="shared" si="1"/>
        <v>697.2</v>
      </c>
      <c r="C74" s="7">
        <f>SUM(80+120+120)</f>
        <v>320</v>
      </c>
      <c r="D74" s="7">
        <f>SUM(50+83+80+84)</f>
        <v>297</v>
      </c>
      <c r="E74" s="9">
        <f>SUM(30.6+49.6)</f>
        <v>80.2</v>
      </c>
      <c r="F74" s="9"/>
    </row>
    <row r="75" spans="1:19" ht="17.100000000000001" customHeight="1">
      <c r="A75" s="10" t="s">
        <v>76</v>
      </c>
      <c r="B75" s="7">
        <f t="shared" si="1"/>
        <v>672.1</v>
      </c>
      <c r="C75" s="7">
        <f>SUM(54+53.6+60+52+40+50)</f>
        <v>309.60000000000002</v>
      </c>
      <c r="D75" s="7">
        <f>SUM(46+54+52+31+40.5)</f>
        <v>223.5</v>
      </c>
      <c r="E75" s="9">
        <f>SUM(31+51+57)</f>
        <v>139</v>
      </c>
      <c r="F75" s="9"/>
    </row>
    <row r="76" spans="1:19" ht="17.100000000000001" customHeight="1">
      <c r="A76" s="10" t="s">
        <v>77</v>
      </c>
      <c r="B76" s="7">
        <f t="shared" si="1"/>
        <v>634.5</v>
      </c>
      <c r="C76" s="7">
        <f>SUM(82.5+80+122)</f>
        <v>284.5</v>
      </c>
      <c r="D76" s="7">
        <f>SUM(46+80+52+80)</f>
        <v>258</v>
      </c>
      <c r="E76" s="8">
        <f>SUM(42+50)</f>
        <v>92</v>
      </c>
      <c r="F76" s="9"/>
    </row>
    <row r="77" spans="1:19" ht="17.100000000000001" customHeight="1">
      <c r="A77" s="6" t="s">
        <v>78</v>
      </c>
      <c r="B77" s="7">
        <f t="shared" si="1"/>
        <v>348.2</v>
      </c>
      <c r="C77" s="7">
        <v>0</v>
      </c>
      <c r="D77" s="7">
        <v>0</v>
      </c>
      <c r="E77" s="8"/>
      <c r="F77" s="8"/>
      <c r="G77" s="8"/>
      <c r="H77" s="8">
        <v>86.2</v>
      </c>
      <c r="I77" s="8"/>
      <c r="J77" s="8"/>
      <c r="K77" s="8">
        <v>150</v>
      </c>
      <c r="L77" s="8">
        <v>112</v>
      </c>
      <c r="M77" s="8"/>
      <c r="N77" s="8"/>
      <c r="O77" s="8"/>
      <c r="P77" s="8"/>
      <c r="Q77" s="8"/>
      <c r="R77" s="8"/>
      <c r="S77" s="8"/>
    </row>
    <row r="78" spans="1:19" ht="17.100000000000001" customHeight="1">
      <c r="A78" s="11" t="s">
        <v>79</v>
      </c>
      <c r="B78" s="7">
        <f t="shared" si="1"/>
        <v>714.4</v>
      </c>
      <c r="C78" s="7">
        <f>SUM(36+80.4+80+50+120)</f>
        <v>366.4</v>
      </c>
      <c r="D78" s="7">
        <f>SUM(35+50+83+83+41+56)</f>
        <v>348</v>
      </c>
      <c r="F78" s="9"/>
    </row>
    <row r="79" spans="1:19" ht="17.100000000000001" customHeight="1">
      <c r="A79" s="6" t="s">
        <v>80</v>
      </c>
      <c r="B79" s="7">
        <f t="shared" si="1"/>
        <v>333.6</v>
      </c>
      <c r="C79" s="7">
        <v>0</v>
      </c>
      <c r="D79" s="7">
        <v>0</v>
      </c>
      <c r="E79" s="8">
        <f>SUM(53.6+34+52+67+51)</f>
        <v>257.60000000000002</v>
      </c>
      <c r="F79" s="8">
        <f>SUM(39+37)</f>
        <v>76</v>
      </c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</row>
    <row r="80" spans="1:19" ht="17.100000000000001" customHeight="1">
      <c r="A80" s="6" t="s">
        <v>81</v>
      </c>
      <c r="B80" s="7">
        <f t="shared" si="1"/>
        <v>332.5</v>
      </c>
      <c r="C80" s="7">
        <v>0</v>
      </c>
      <c r="D80" s="7">
        <f>SUM(32)</f>
        <v>32</v>
      </c>
      <c r="E80" s="8">
        <f>SUM(31+51)</f>
        <v>82</v>
      </c>
      <c r="F80" s="8">
        <f>SUM(80)</f>
        <v>80</v>
      </c>
      <c r="G80" s="8"/>
      <c r="H80" s="8">
        <v>138.5</v>
      </c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</row>
    <row r="81" spans="1:19" s="9" customFormat="1" ht="17.100000000000001" customHeight="1">
      <c r="A81" s="6" t="s">
        <v>82</v>
      </c>
      <c r="B81" s="7">
        <f t="shared" si="1"/>
        <v>323</v>
      </c>
      <c r="C81" s="7">
        <v>0</v>
      </c>
      <c r="D81" s="7">
        <v>0</v>
      </c>
      <c r="E81" s="8"/>
      <c r="F81" s="8"/>
      <c r="G81" s="8"/>
      <c r="H81" s="8"/>
      <c r="I81" s="8"/>
      <c r="J81" s="8"/>
      <c r="K81" s="8"/>
      <c r="L81" s="8"/>
      <c r="M81" s="8">
        <v>289</v>
      </c>
      <c r="N81" s="8">
        <v>34</v>
      </c>
      <c r="O81" s="8"/>
      <c r="P81" s="8"/>
      <c r="Q81" s="8"/>
      <c r="R81" s="8"/>
      <c r="S81" s="8"/>
    </row>
    <row r="82" spans="1:19" ht="17.100000000000001" customHeight="1">
      <c r="A82" s="6" t="s">
        <v>83</v>
      </c>
      <c r="B82" s="7">
        <f t="shared" si="1"/>
        <v>299.3</v>
      </c>
      <c r="C82" s="7">
        <v>0</v>
      </c>
      <c r="D82" s="7">
        <v>0</v>
      </c>
      <c r="E82" s="8"/>
      <c r="F82" s="8"/>
      <c r="G82" s="8"/>
      <c r="H82" s="8"/>
      <c r="I82" s="8">
        <v>145.5</v>
      </c>
      <c r="J82" s="8">
        <v>153.80000000000001</v>
      </c>
      <c r="K82" s="8"/>
      <c r="L82" s="8"/>
      <c r="M82" s="8"/>
      <c r="N82" s="8"/>
      <c r="O82" s="8"/>
      <c r="P82" s="8"/>
      <c r="Q82" s="8"/>
      <c r="R82" s="8"/>
      <c r="S82" s="8"/>
    </row>
    <row r="83" spans="1:19" ht="17.100000000000001" customHeight="1">
      <c r="A83" s="10" t="s">
        <v>84</v>
      </c>
      <c r="B83" s="7">
        <f t="shared" si="1"/>
        <v>297.5</v>
      </c>
      <c r="C83" s="7">
        <v>0</v>
      </c>
      <c r="D83" s="7">
        <f>SUM(54)</f>
        <v>54</v>
      </c>
      <c r="E83" s="9">
        <f>SUM(31.6+34+45.9+51+81)</f>
        <v>243.5</v>
      </c>
      <c r="F83" s="9"/>
    </row>
    <row r="84" spans="1:19" ht="17.100000000000001" customHeight="1">
      <c r="A84" s="6" t="s">
        <v>85</v>
      </c>
      <c r="B84" s="7">
        <f t="shared" si="1"/>
        <v>285.85000000000002</v>
      </c>
      <c r="C84" s="7">
        <v>0</v>
      </c>
      <c r="D84" s="7">
        <v>0</v>
      </c>
      <c r="E84" s="8"/>
      <c r="F84" s="8"/>
      <c r="G84" s="8"/>
      <c r="H84" s="8">
        <v>285.85000000000002</v>
      </c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</row>
    <row r="85" spans="1:19" s="9" customFormat="1" ht="17.100000000000001" customHeight="1">
      <c r="A85" s="10" t="s">
        <v>86</v>
      </c>
      <c r="B85" s="7">
        <f t="shared" si="1"/>
        <v>450</v>
      </c>
      <c r="C85" s="7">
        <f>SUM(55+80+30)</f>
        <v>165</v>
      </c>
      <c r="D85" s="7">
        <f>SUM(50+67+41+56)</f>
        <v>214</v>
      </c>
      <c r="E85" s="9">
        <f>SUM(38+33)</f>
        <v>71</v>
      </c>
    </row>
    <row r="86" spans="1:19" ht="17.100000000000001" customHeight="1">
      <c r="A86" s="6" t="s">
        <v>87</v>
      </c>
      <c r="B86" s="7">
        <f t="shared" si="1"/>
        <v>275</v>
      </c>
      <c r="C86" s="7">
        <v>0</v>
      </c>
      <c r="D86" s="7">
        <v>0</v>
      </c>
      <c r="E86" s="8"/>
      <c r="F86" s="8"/>
      <c r="G86" s="8"/>
      <c r="H86" s="8"/>
      <c r="I86" s="8"/>
      <c r="J86" s="8"/>
      <c r="K86" s="8"/>
      <c r="L86" s="8">
        <v>55</v>
      </c>
      <c r="M86" s="8">
        <v>140</v>
      </c>
      <c r="N86" s="8"/>
      <c r="O86" s="8"/>
      <c r="P86" s="8"/>
      <c r="Q86" s="8"/>
      <c r="R86" s="8">
        <v>80</v>
      </c>
      <c r="S86" s="8"/>
    </row>
    <row r="87" spans="1:19" ht="17.100000000000001" customHeight="1">
      <c r="A87" s="6" t="s">
        <v>88</v>
      </c>
      <c r="B87" s="7">
        <f t="shared" si="1"/>
        <v>270</v>
      </c>
      <c r="C87" s="7">
        <v>0</v>
      </c>
      <c r="D87" s="7">
        <v>0</v>
      </c>
      <c r="E87" s="8"/>
      <c r="F87" s="8"/>
      <c r="G87" s="8"/>
      <c r="H87" s="8">
        <v>171</v>
      </c>
      <c r="I87" s="8"/>
      <c r="J87" s="8"/>
      <c r="K87" s="8">
        <v>69</v>
      </c>
      <c r="L87" s="8"/>
      <c r="M87" s="8">
        <v>30</v>
      </c>
      <c r="N87" s="8"/>
      <c r="O87" s="8"/>
      <c r="P87" s="8"/>
      <c r="Q87" s="8"/>
      <c r="R87" s="8"/>
      <c r="S87" s="8"/>
    </row>
    <row r="88" spans="1:19" s="9" customFormat="1" ht="17.100000000000001" customHeight="1">
      <c r="A88" s="6" t="s">
        <v>89</v>
      </c>
      <c r="B88" s="7">
        <f t="shared" si="1"/>
        <v>270</v>
      </c>
      <c r="C88" s="7">
        <v>0</v>
      </c>
      <c r="D88" s="7">
        <v>0</v>
      </c>
      <c r="E88" s="8"/>
      <c r="F88" s="8"/>
      <c r="G88" s="8"/>
      <c r="H88" s="8"/>
      <c r="I88" s="8"/>
      <c r="J88" s="8"/>
      <c r="K88" s="8"/>
      <c r="L88" s="8"/>
      <c r="M88" s="8">
        <v>270</v>
      </c>
      <c r="N88" s="8"/>
      <c r="O88" s="8"/>
      <c r="P88" s="8"/>
      <c r="Q88" s="8"/>
      <c r="R88" s="8"/>
      <c r="S88" s="8"/>
    </row>
    <row r="89" spans="1:19" ht="17.100000000000001" customHeight="1">
      <c r="A89" s="10" t="s">
        <v>90</v>
      </c>
      <c r="B89" s="7">
        <f t="shared" si="1"/>
        <v>441.99</v>
      </c>
      <c r="C89" s="7">
        <f>SUM(53.49+52+80)</f>
        <v>185.49</v>
      </c>
      <c r="D89" s="7">
        <f>SUM(46+54+55.5)</f>
        <v>155.5</v>
      </c>
      <c r="E89" s="9">
        <f>SUM(31+34+36)</f>
        <v>101</v>
      </c>
      <c r="F89" s="9"/>
    </row>
    <row r="90" spans="1:19" ht="17.100000000000001" customHeight="1">
      <c r="A90" s="10" t="s">
        <v>91</v>
      </c>
      <c r="B90" s="7">
        <f t="shared" si="1"/>
        <v>325</v>
      </c>
      <c r="C90" s="7">
        <v>80</v>
      </c>
      <c r="D90" s="7">
        <f>SUM(54+50+52)</f>
        <v>156</v>
      </c>
      <c r="E90" s="9">
        <f>SUM(38+51)</f>
        <v>89</v>
      </c>
      <c r="F90" s="9"/>
    </row>
    <row r="91" spans="1:19" s="9" customFormat="1" ht="17.100000000000001" customHeight="1">
      <c r="A91" s="6" t="s">
        <v>92</v>
      </c>
      <c r="B91" s="7">
        <f t="shared" si="1"/>
        <v>243</v>
      </c>
      <c r="C91" s="7">
        <v>0</v>
      </c>
      <c r="D91" s="7">
        <f>SUM(34)</f>
        <v>34</v>
      </c>
      <c r="E91" s="8">
        <f>SUM(39+38+59)</f>
        <v>136</v>
      </c>
      <c r="F91" s="8">
        <f>SUM(34+39)</f>
        <v>73</v>
      </c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</row>
    <row r="92" spans="1:19" s="9" customFormat="1" ht="17.100000000000001" customHeight="1">
      <c r="A92" s="6" t="s">
        <v>93</v>
      </c>
      <c r="B92" s="7">
        <f t="shared" si="1"/>
        <v>241.5</v>
      </c>
      <c r="C92" s="7">
        <v>0</v>
      </c>
      <c r="D92" s="7">
        <v>0</v>
      </c>
      <c r="E92" s="8"/>
      <c r="F92" s="8">
        <f>SUM(80+67)</f>
        <v>147</v>
      </c>
      <c r="G92" s="8">
        <f>SUM(42.5+52)</f>
        <v>94.5</v>
      </c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</row>
    <row r="93" spans="1:19" s="9" customFormat="1" ht="17.100000000000001" customHeight="1">
      <c r="A93" s="6" t="s">
        <v>94</v>
      </c>
      <c r="B93" s="7">
        <f t="shared" si="1"/>
        <v>239</v>
      </c>
      <c r="C93" s="7">
        <v>0</v>
      </c>
      <c r="D93" s="7">
        <v>0</v>
      </c>
      <c r="E93" s="8"/>
      <c r="F93" s="8"/>
      <c r="G93" s="8"/>
      <c r="H93" s="8"/>
      <c r="I93" s="8"/>
      <c r="J93" s="8"/>
      <c r="K93" s="8">
        <v>39</v>
      </c>
      <c r="L93" s="8">
        <v>30</v>
      </c>
      <c r="M93" s="8">
        <v>109</v>
      </c>
      <c r="N93" s="8"/>
      <c r="O93" s="8">
        <v>31</v>
      </c>
      <c r="P93" s="8"/>
      <c r="Q93" s="8"/>
      <c r="R93" s="8">
        <v>30</v>
      </c>
      <c r="S93" s="8"/>
    </row>
    <row r="94" spans="1:19" ht="17.100000000000001" customHeight="1">
      <c r="A94" s="6" t="s">
        <v>95</v>
      </c>
      <c r="B94" s="7">
        <f t="shared" si="1"/>
        <v>234</v>
      </c>
      <c r="C94" s="7">
        <v>0</v>
      </c>
      <c r="D94" s="7">
        <v>0</v>
      </c>
      <c r="E94" s="8"/>
      <c r="F94" s="8"/>
      <c r="G94" s="8"/>
      <c r="H94" s="8"/>
      <c r="I94" s="8"/>
      <c r="J94" s="8"/>
      <c r="K94" s="8">
        <v>94</v>
      </c>
      <c r="L94" s="8">
        <v>140</v>
      </c>
      <c r="M94" s="8"/>
      <c r="N94" s="8"/>
      <c r="O94" s="8"/>
      <c r="P94" s="8"/>
      <c r="Q94" s="8"/>
      <c r="R94" s="8"/>
      <c r="S94" s="8"/>
    </row>
    <row r="95" spans="1:19" ht="17.100000000000001" customHeight="1">
      <c r="A95" s="6" t="s">
        <v>96</v>
      </c>
      <c r="B95" s="7">
        <f t="shared" si="1"/>
        <v>232.35</v>
      </c>
      <c r="C95" s="7">
        <v>0</v>
      </c>
      <c r="D95" s="7">
        <v>0</v>
      </c>
      <c r="E95" s="8"/>
      <c r="F95" s="8"/>
      <c r="G95" s="8"/>
      <c r="H95" s="8">
        <v>62.85</v>
      </c>
      <c r="I95" s="8">
        <v>169.5</v>
      </c>
      <c r="J95" s="8"/>
      <c r="K95" s="8"/>
      <c r="L95" s="8"/>
      <c r="M95" s="8"/>
      <c r="N95" s="8"/>
      <c r="O95" s="8"/>
      <c r="P95" s="8"/>
      <c r="Q95" s="8"/>
      <c r="R95" s="8"/>
      <c r="S95" s="8"/>
    </row>
    <row r="96" spans="1:19" ht="17.100000000000001" customHeight="1">
      <c r="A96" s="10" t="s">
        <v>97</v>
      </c>
      <c r="B96" s="7">
        <f t="shared" si="1"/>
        <v>231.6</v>
      </c>
      <c r="C96" s="7">
        <v>0</v>
      </c>
      <c r="D96" s="7">
        <v>0</v>
      </c>
      <c r="E96" s="9">
        <f>SUM(31.6+67+52+81)</f>
        <v>231.6</v>
      </c>
      <c r="F96" s="9"/>
    </row>
    <row r="97" spans="1:19" s="9" customFormat="1" ht="17.100000000000001" customHeight="1">
      <c r="A97" s="11" t="s">
        <v>98</v>
      </c>
      <c r="B97" s="7">
        <f t="shared" si="1"/>
        <v>371.1</v>
      </c>
      <c r="C97" s="7">
        <f>SUM(49+53.6+40)</f>
        <v>142.6</v>
      </c>
      <c r="D97" s="7">
        <f>SUM(30+50+52+40.5+56)</f>
        <v>228.5</v>
      </c>
    </row>
    <row r="98" spans="1:19" s="9" customFormat="1" ht="17.100000000000001" customHeight="1">
      <c r="A98" s="10" t="s">
        <v>99</v>
      </c>
      <c r="B98" s="7">
        <f t="shared" si="1"/>
        <v>226</v>
      </c>
      <c r="C98" s="7">
        <v>0</v>
      </c>
      <c r="D98" s="7">
        <f>SUM(67)</f>
        <v>67</v>
      </c>
      <c r="E98" s="8">
        <f>SUM(42+50+67)</f>
        <v>159</v>
      </c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</row>
    <row r="99" spans="1:19" ht="17.100000000000001" customHeight="1">
      <c r="A99" s="6" t="s">
        <v>100</v>
      </c>
      <c r="B99" s="7">
        <f t="shared" si="1"/>
        <v>225.85</v>
      </c>
      <c r="C99" s="7">
        <v>0</v>
      </c>
      <c r="D99" s="7">
        <v>0</v>
      </c>
      <c r="E99" s="8"/>
      <c r="F99" s="8"/>
      <c r="G99" s="8"/>
      <c r="H99" s="8">
        <v>118.85</v>
      </c>
      <c r="I99" s="8">
        <v>107</v>
      </c>
      <c r="J99" s="8"/>
      <c r="K99" s="8"/>
      <c r="L99" s="8"/>
      <c r="M99" s="8"/>
      <c r="N99" s="8"/>
      <c r="O99" s="8"/>
      <c r="P99" s="8"/>
      <c r="Q99" s="8"/>
      <c r="R99" s="8"/>
      <c r="S99" s="8"/>
    </row>
    <row r="100" spans="1:19" ht="17.100000000000001" customHeight="1">
      <c r="A100" s="10" t="s">
        <v>101</v>
      </c>
      <c r="B100" s="7">
        <f t="shared" si="1"/>
        <v>489.7</v>
      </c>
      <c r="C100" s="7">
        <f>SUM(53.6+60+53.6+50+50)</f>
        <v>267.2</v>
      </c>
      <c r="D100" s="7">
        <f>SUM(30+52+40.5+44+56)</f>
        <v>222.5</v>
      </c>
      <c r="F100" s="9"/>
    </row>
    <row r="101" spans="1:19" ht="17.100000000000001" customHeight="1">
      <c r="A101" s="6" t="s">
        <v>102</v>
      </c>
      <c r="B101" s="7">
        <f t="shared" si="1"/>
        <v>219</v>
      </c>
      <c r="C101" s="7">
        <v>0</v>
      </c>
      <c r="D101" s="7">
        <v>0</v>
      </c>
      <c r="E101" s="8">
        <f>SUM(67)</f>
        <v>67</v>
      </c>
      <c r="F101" s="8">
        <f>SUM(39+62+51)</f>
        <v>152</v>
      </c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</row>
    <row r="102" spans="1:19" ht="17.100000000000001" customHeight="1">
      <c r="A102" s="11" t="s">
        <v>103</v>
      </c>
      <c r="B102" s="7">
        <f t="shared" si="1"/>
        <v>297</v>
      </c>
      <c r="C102" s="7">
        <f>SUM(80)</f>
        <v>80</v>
      </c>
      <c r="D102" s="7">
        <f>SUM(30+50+52+85)</f>
        <v>217</v>
      </c>
      <c r="F102" s="9"/>
    </row>
    <row r="103" spans="1:19" ht="17.100000000000001" customHeight="1">
      <c r="A103" s="11" t="s">
        <v>104</v>
      </c>
      <c r="B103" s="7">
        <f t="shared" si="1"/>
        <v>268.60000000000002</v>
      </c>
      <c r="C103" s="7">
        <f>SUM(53.6)</f>
        <v>53.6</v>
      </c>
      <c r="D103" s="7">
        <f>SUM(30+50+52+83)</f>
        <v>215</v>
      </c>
      <c r="F103" s="9"/>
    </row>
    <row r="104" spans="1:19" ht="17.100000000000001" customHeight="1">
      <c r="A104" s="6" t="s">
        <v>105</v>
      </c>
      <c r="B104" s="7">
        <f t="shared" si="1"/>
        <v>213.35</v>
      </c>
      <c r="C104" s="7">
        <v>0</v>
      </c>
      <c r="D104" s="7">
        <v>0</v>
      </c>
      <c r="E104" s="8"/>
      <c r="F104" s="8"/>
      <c r="G104" s="8">
        <v>52.5</v>
      </c>
      <c r="H104" s="8">
        <v>160.85</v>
      </c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</row>
    <row r="105" spans="1:19" ht="17.100000000000001" customHeight="1">
      <c r="A105" s="10" t="s">
        <v>106</v>
      </c>
      <c r="B105" s="7">
        <f t="shared" si="1"/>
        <v>252</v>
      </c>
      <c r="C105" s="7">
        <f>SUM(49)</f>
        <v>49</v>
      </c>
      <c r="D105" s="7">
        <f>SUM(30+50+56)</f>
        <v>136</v>
      </c>
      <c r="E105" s="9">
        <f>SUM(31+36)</f>
        <v>67</v>
      </c>
      <c r="F105" s="9"/>
    </row>
    <row r="106" spans="1:19" ht="17.100000000000001" customHeight="1">
      <c r="A106" s="10" t="s">
        <v>107</v>
      </c>
      <c r="B106" s="7">
        <f t="shared" si="1"/>
        <v>305.60000000000002</v>
      </c>
      <c r="C106" s="7">
        <f>SUM(49+53.6)</f>
        <v>102.6</v>
      </c>
      <c r="D106" s="7">
        <f>SUM(52+56)</f>
        <v>108</v>
      </c>
      <c r="E106" s="9">
        <f>SUM(30+34+31)</f>
        <v>95</v>
      </c>
      <c r="F106" s="9"/>
    </row>
    <row r="107" spans="1:19" ht="17.100000000000001" customHeight="1">
      <c r="A107" s="10" t="s">
        <v>108</v>
      </c>
      <c r="B107" s="7">
        <f t="shared" si="1"/>
        <v>202</v>
      </c>
      <c r="C107" s="7">
        <v>0</v>
      </c>
      <c r="D107" s="7">
        <f>SUM(54)</f>
        <v>54</v>
      </c>
      <c r="E107" s="9">
        <f>SUM(38+51+59)</f>
        <v>148</v>
      </c>
      <c r="F107" s="9"/>
    </row>
    <row r="108" spans="1:19" s="9" customFormat="1" ht="17.100000000000001" customHeight="1">
      <c r="A108" s="6" t="s">
        <v>109</v>
      </c>
      <c r="B108" s="7">
        <f t="shared" si="1"/>
        <v>200.8</v>
      </c>
      <c r="C108" s="7">
        <v>0</v>
      </c>
      <c r="D108" s="7">
        <f>SUM(33.6+42.4+42.4+82.4)</f>
        <v>200.8</v>
      </c>
      <c r="F108" s="12"/>
    </row>
    <row r="109" spans="1:19" ht="17.100000000000001" customHeight="1">
      <c r="A109" s="10" t="s">
        <v>110</v>
      </c>
      <c r="B109" s="7">
        <f t="shared" si="1"/>
        <v>522</v>
      </c>
      <c r="C109" s="7">
        <f>SUM(100+100+122)</f>
        <v>322</v>
      </c>
      <c r="D109" s="7">
        <v>0</v>
      </c>
      <c r="E109" s="9">
        <f>SUM(80+120)</f>
        <v>200</v>
      </c>
      <c r="F109" s="9"/>
    </row>
    <row r="110" spans="1:19" ht="17.100000000000001" customHeight="1">
      <c r="A110" s="6" t="s">
        <v>111</v>
      </c>
      <c r="B110" s="7">
        <f t="shared" si="1"/>
        <v>253.4</v>
      </c>
      <c r="C110" s="7">
        <f>SUM(55)</f>
        <v>55</v>
      </c>
      <c r="D110" s="7">
        <f>SUM(33.6+42.4+42.4+80)</f>
        <v>198.4</v>
      </c>
    </row>
    <row r="111" spans="1:19" ht="17.100000000000001" customHeight="1">
      <c r="A111" s="10" t="s">
        <v>112</v>
      </c>
      <c r="B111" s="7">
        <f t="shared" si="1"/>
        <v>196</v>
      </c>
      <c r="C111" s="7">
        <v>0</v>
      </c>
      <c r="D111" s="7">
        <f>SUM(50)</f>
        <v>50</v>
      </c>
      <c r="E111" s="9">
        <f>SUM(34+42+34+36)</f>
        <v>146</v>
      </c>
      <c r="F111" s="9"/>
    </row>
    <row r="112" spans="1:19" s="9" customFormat="1" ht="17.100000000000001" customHeight="1">
      <c r="A112" s="6" t="s">
        <v>113</v>
      </c>
      <c r="B112" s="7">
        <f t="shared" si="1"/>
        <v>196</v>
      </c>
      <c r="C112" s="7">
        <v>0</v>
      </c>
      <c r="D112" s="7">
        <v>0</v>
      </c>
      <c r="E112" s="8"/>
      <c r="F112" s="8">
        <f>SUM(53+39+62)</f>
        <v>154</v>
      </c>
      <c r="G112" s="8">
        <f>SUM(42)</f>
        <v>42</v>
      </c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</row>
    <row r="113" spans="1:19" ht="17.100000000000001" customHeight="1">
      <c r="A113" s="6" t="s">
        <v>114</v>
      </c>
      <c r="B113" s="7">
        <f t="shared" si="1"/>
        <v>192</v>
      </c>
      <c r="C113" s="7">
        <v>0</v>
      </c>
      <c r="D113" s="7">
        <v>0</v>
      </c>
      <c r="E113" s="8"/>
      <c r="F113" s="8"/>
      <c r="G113" s="8"/>
      <c r="H113" s="8"/>
      <c r="I113" s="8"/>
      <c r="J113" s="8"/>
      <c r="K113" s="8">
        <v>39</v>
      </c>
      <c r="L113" s="8">
        <v>92</v>
      </c>
      <c r="M113" s="8">
        <v>30</v>
      </c>
      <c r="N113" s="8">
        <v>31</v>
      </c>
      <c r="O113" s="8"/>
      <c r="P113" s="8"/>
      <c r="Q113" s="8"/>
      <c r="R113" s="8"/>
      <c r="S113" s="8"/>
    </row>
    <row r="114" spans="1:19" ht="17.100000000000001" customHeight="1">
      <c r="A114" s="10" t="s">
        <v>115</v>
      </c>
      <c r="B114" s="7">
        <f t="shared" si="1"/>
        <v>383.1</v>
      </c>
      <c r="C114" s="7">
        <f>SUM(60+53.6+80)</f>
        <v>193.6</v>
      </c>
      <c r="D114" s="7">
        <f>SUM(30+32+31+40.5+56)</f>
        <v>189.5</v>
      </c>
      <c r="F114" s="9"/>
    </row>
    <row r="115" spans="1:19" s="9" customFormat="1" ht="17.100000000000001" customHeight="1">
      <c r="A115" s="6" t="s">
        <v>116</v>
      </c>
      <c r="B115" s="7">
        <f t="shared" si="1"/>
        <v>185</v>
      </c>
      <c r="C115" s="7">
        <v>0</v>
      </c>
      <c r="D115" s="7">
        <v>0</v>
      </c>
      <c r="E115" s="8"/>
      <c r="F115" s="8"/>
      <c r="G115" s="8"/>
      <c r="H115" s="8"/>
      <c r="I115" s="8"/>
      <c r="J115" s="8"/>
      <c r="K115" s="8"/>
      <c r="L115" s="8">
        <v>38</v>
      </c>
      <c r="M115" s="8">
        <v>74</v>
      </c>
      <c r="N115" s="8">
        <v>73</v>
      </c>
      <c r="O115" s="8"/>
      <c r="P115" s="8"/>
      <c r="Q115" s="8"/>
      <c r="R115" s="8"/>
      <c r="S115" s="8"/>
    </row>
    <row r="116" spans="1:19" ht="17.100000000000001" customHeight="1">
      <c r="A116" s="6" t="s">
        <v>117</v>
      </c>
      <c r="B116" s="7">
        <f t="shared" si="1"/>
        <v>176</v>
      </c>
      <c r="C116" s="7">
        <v>0</v>
      </c>
      <c r="D116" s="7">
        <v>0</v>
      </c>
      <c r="E116" s="8"/>
      <c r="F116" s="8"/>
      <c r="G116" s="8"/>
      <c r="H116" s="8"/>
      <c r="I116" s="8"/>
      <c r="J116" s="8"/>
      <c r="K116" s="8"/>
      <c r="L116" s="8"/>
      <c r="M116" s="8">
        <v>176</v>
      </c>
      <c r="N116" s="8"/>
      <c r="O116" s="8"/>
      <c r="P116" s="8"/>
      <c r="Q116" s="8"/>
      <c r="R116" s="8"/>
      <c r="S116" s="8"/>
    </row>
    <row r="117" spans="1:19" s="9" customFormat="1" ht="17.100000000000001" customHeight="1">
      <c r="A117" s="6" t="s">
        <v>118</v>
      </c>
      <c r="B117" s="7">
        <f t="shared" si="1"/>
        <v>174</v>
      </c>
      <c r="C117" s="7">
        <v>0</v>
      </c>
      <c r="D117" s="7">
        <v>0</v>
      </c>
      <c r="E117" s="8"/>
      <c r="F117" s="8"/>
      <c r="G117" s="8"/>
      <c r="H117" s="8"/>
      <c r="I117" s="8"/>
      <c r="J117" s="8"/>
      <c r="K117" s="8"/>
      <c r="L117" s="8">
        <v>174</v>
      </c>
      <c r="M117" s="8"/>
      <c r="N117" s="8"/>
      <c r="O117" s="8"/>
      <c r="P117" s="8"/>
      <c r="Q117" s="8"/>
      <c r="R117" s="8"/>
      <c r="S117" s="8"/>
    </row>
    <row r="118" spans="1:19" s="9" customFormat="1" ht="17.100000000000001" customHeight="1">
      <c r="A118" s="6" t="s">
        <v>119</v>
      </c>
      <c r="B118" s="7">
        <f t="shared" si="1"/>
        <v>174</v>
      </c>
      <c r="C118" s="7">
        <v>0</v>
      </c>
      <c r="D118" s="7">
        <v>0</v>
      </c>
      <c r="E118" s="8"/>
      <c r="F118" s="8">
        <f>SUM(34+54)</f>
        <v>88</v>
      </c>
      <c r="G118" s="8">
        <v>86</v>
      </c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</row>
    <row r="119" spans="1:19" s="9" customFormat="1" ht="17.100000000000001" customHeight="1">
      <c r="A119" s="6" t="s">
        <v>120</v>
      </c>
      <c r="B119" s="7">
        <f t="shared" si="1"/>
        <v>172.6</v>
      </c>
      <c r="C119" s="7">
        <v>0</v>
      </c>
      <c r="D119" s="7">
        <v>0</v>
      </c>
      <c r="E119" s="8">
        <f>SUM(53.6+51)</f>
        <v>104.6</v>
      </c>
      <c r="F119" s="8">
        <f>SUM(34+34)</f>
        <v>68</v>
      </c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</row>
    <row r="120" spans="1:19" s="9" customFormat="1" ht="17.100000000000001" customHeight="1">
      <c r="A120" s="6" t="s">
        <v>121</v>
      </c>
      <c r="B120" s="7">
        <f t="shared" si="1"/>
        <v>172</v>
      </c>
      <c r="C120" s="7">
        <v>0</v>
      </c>
      <c r="D120" s="7">
        <v>0</v>
      </c>
      <c r="E120" s="8"/>
      <c r="F120" s="8"/>
      <c r="G120" s="8"/>
      <c r="H120" s="8"/>
      <c r="I120" s="8"/>
      <c r="J120" s="8"/>
      <c r="K120" s="8">
        <v>32</v>
      </c>
      <c r="L120" s="8">
        <v>140</v>
      </c>
      <c r="M120" s="8"/>
      <c r="N120" s="8"/>
      <c r="O120" s="8"/>
      <c r="P120" s="8"/>
      <c r="Q120" s="8"/>
      <c r="R120" s="8"/>
      <c r="S120" s="8"/>
    </row>
    <row r="121" spans="1:19" ht="17.100000000000001" customHeight="1">
      <c r="A121" s="6" t="s">
        <v>122</v>
      </c>
      <c r="B121" s="7">
        <f t="shared" si="1"/>
        <v>168</v>
      </c>
      <c r="C121" s="7">
        <v>0</v>
      </c>
      <c r="D121" s="7">
        <v>0</v>
      </c>
      <c r="E121" s="8">
        <f>SUM(50)</f>
        <v>50</v>
      </c>
      <c r="F121" s="8">
        <f>SUM(39+45+34)</f>
        <v>118</v>
      </c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</row>
    <row r="122" spans="1:19" ht="17.100000000000001" customHeight="1">
      <c r="A122" s="6" t="s">
        <v>123</v>
      </c>
      <c r="B122" s="7">
        <f t="shared" si="1"/>
        <v>167</v>
      </c>
      <c r="C122" s="7">
        <v>0</v>
      </c>
      <c r="D122" s="7">
        <v>0</v>
      </c>
      <c r="E122" s="8"/>
      <c r="F122" s="8"/>
      <c r="G122" s="8"/>
      <c r="H122" s="8"/>
      <c r="I122" s="8"/>
      <c r="J122" s="8"/>
      <c r="K122" s="8">
        <v>135</v>
      </c>
      <c r="L122" s="8">
        <v>32</v>
      </c>
      <c r="M122" s="8"/>
      <c r="N122" s="8"/>
      <c r="O122" s="8"/>
      <c r="P122" s="8"/>
      <c r="Q122" s="8"/>
      <c r="R122" s="8"/>
      <c r="S122" s="8"/>
    </row>
    <row r="123" spans="1:19" ht="17.100000000000001" customHeight="1">
      <c r="A123" s="6" t="s">
        <v>124</v>
      </c>
      <c r="B123" s="7">
        <f t="shared" si="1"/>
        <v>165</v>
      </c>
      <c r="C123" s="7">
        <v>0</v>
      </c>
      <c r="D123" s="7">
        <v>0</v>
      </c>
      <c r="E123" s="8"/>
      <c r="F123" s="8"/>
      <c r="G123" s="8"/>
      <c r="H123" s="8"/>
      <c r="I123" s="8"/>
      <c r="J123" s="8"/>
      <c r="K123" s="8"/>
      <c r="L123" s="8"/>
      <c r="M123" s="8">
        <v>165</v>
      </c>
      <c r="N123" s="8"/>
      <c r="O123" s="8"/>
      <c r="P123" s="8"/>
      <c r="Q123" s="8"/>
      <c r="R123" s="8"/>
      <c r="S123" s="8"/>
    </row>
    <row r="124" spans="1:19" s="9" customFormat="1" ht="17.100000000000001" customHeight="1">
      <c r="A124" s="11" t="s">
        <v>125</v>
      </c>
      <c r="B124" s="7">
        <f t="shared" si="1"/>
        <v>444</v>
      </c>
      <c r="C124" s="7">
        <f>SUM(80+80+120)</f>
        <v>280</v>
      </c>
      <c r="D124" s="7">
        <f>SUM(32+52+80)</f>
        <v>164</v>
      </c>
      <c r="F124" s="12"/>
    </row>
    <row r="125" spans="1:19" ht="17.100000000000001" customHeight="1">
      <c r="A125" s="10" t="s">
        <v>126</v>
      </c>
      <c r="B125" s="7">
        <f t="shared" si="1"/>
        <v>155</v>
      </c>
      <c r="C125" s="7">
        <v>0</v>
      </c>
      <c r="D125" s="7">
        <f>SUM(46)</f>
        <v>46</v>
      </c>
      <c r="E125" s="9">
        <f>SUM(39+34+36)</f>
        <v>109</v>
      </c>
      <c r="F125" s="9"/>
    </row>
    <row r="126" spans="1:19" ht="17.100000000000001" customHeight="1">
      <c r="A126" s="6" t="s">
        <v>127</v>
      </c>
      <c r="B126" s="7">
        <f t="shared" si="1"/>
        <v>148</v>
      </c>
      <c r="C126" s="7">
        <v>0</v>
      </c>
      <c r="D126" s="7">
        <v>0</v>
      </c>
      <c r="E126" s="8"/>
      <c r="F126" s="8">
        <f>SUM(34+62+52)</f>
        <v>148</v>
      </c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</row>
    <row r="127" spans="1:19" ht="17.100000000000001" customHeight="1">
      <c r="A127" s="6" t="s">
        <v>128</v>
      </c>
      <c r="B127" s="7">
        <f t="shared" si="1"/>
        <v>146</v>
      </c>
      <c r="C127" s="7">
        <v>0</v>
      </c>
      <c r="D127" s="7">
        <v>0</v>
      </c>
      <c r="E127" s="8"/>
      <c r="F127" s="8"/>
      <c r="G127" s="8"/>
      <c r="H127" s="8"/>
      <c r="I127" s="8"/>
      <c r="J127" s="8"/>
      <c r="K127" s="8"/>
      <c r="L127" s="8">
        <v>146</v>
      </c>
      <c r="M127" s="8"/>
      <c r="N127" s="8"/>
      <c r="O127" s="8"/>
      <c r="P127" s="8"/>
      <c r="Q127" s="8"/>
      <c r="R127" s="8"/>
      <c r="S127" s="8"/>
    </row>
    <row r="128" spans="1:19" s="9" customFormat="1" ht="17.100000000000001" customHeight="1">
      <c r="A128" s="6" t="s">
        <v>129</v>
      </c>
      <c r="B128" s="7">
        <f t="shared" si="1"/>
        <v>146</v>
      </c>
      <c r="C128" s="7">
        <v>0</v>
      </c>
      <c r="D128" s="7">
        <v>0</v>
      </c>
      <c r="E128" s="8"/>
      <c r="F128" s="8">
        <f>SUM(39+45+62)</f>
        <v>146</v>
      </c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</row>
    <row r="129" spans="1:19" ht="17.100000000000001" customHeight="1">
      <c r="A129" s="10" t="s">
        <v>130</v>
      </c>
      <c r="B129" s="7">
        <f t="shared" si="1"/>
        <v>145.6</v>
      </c>
      <c r="C129" s="7">
        <v>0</v>
      </c>
      <c r="D129" s="7">
        <f>SUM(54)</f>
        <v>54</v>
      </c>
      <c r="E129" s="8">
        <f>SUM(30+31.6)</f>
        <v>61.6</v>
      </c>
      <c r="F129" s="8">
        <f>SUM(30)</f>
        <v>30</v>
      </c>
    </row>
    <row r="130" spans="1:19" s="9" customFormat="1" ht="17.100000000000001" customHeight="1">
      <c r="A130" s="6" t="s">
        <v>131</v>
      </c>
      <c r="B130" s="7">
        <f t="shared" ref="B130:B193" si="2">SUM(C130:U130)</f>
        <v>144</v>
      </c>
      <c r="C130" s="7">
        <v>0</v>
      </c>
      <c r="D130" s="7">
        <v>0</v>
      </c>
      <c r="E130" s="8"/>
      <c r="F130" s="8"/>
      <c r="G130" s="8"/>
      <c r="H130" s="8"/>
      <c r="I130" s="8"/>
      <c r="J130" s="8"/>
      <c r="K130" s="8"/>
      <c r="L130" s="8"/>
      <c r="M130" s="8">
        <v>34</v>
      </c>
      <c r="N130" s="8"/>
      <c r="O130" s="8"/>
      <c r="P130" s="8"/>
      <c r="Q130" s="8"/>
      <c r="R130" s="8">
        <v>80</v>
      </c>
      <c r="S130" s="8">
        <v>30</v>
      </c>
    </row>
    <row r="131" spans="1:19" s="9" customFormat="1" ht="17.100000000000001" customHeight="1">
      <c r="A131" s="10" t="s">
        <v>132</v>
      </c>
      <c r="B131" s="7">
        <f t="shared" si="2"/>
        <v>136</v>
      </c>
      <c r="C131" s="7">
        <v>0</v>
      </c>
      <c r="D131" s="7">
        <v>0</v>
      </c>
      <c r="E131" s="8"/>
      <c r="F131" s="8">
        <f>SUM(34+51+51)</f>
        <v>136</v>
      </c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</row>
    <row r="132" spans="1:19" ht="17.100000000000001" customHeight="1">
      <c r="A132" s="10" t="s">
        <v>133</v>
      </c>
      <c r="B132" s="7">
        <f t="shared" si="2"/>
        <v>136</v>
      </c>
      <c r="C132" s="7">
        <v>0</v>
      </c>
      <c r="D132" s="7">
        <v>0</v>
      </c>
      <c r="E132" s="9">
        <f>SUM(34+52+50)</f>
        <v>136</v>
      </c>
      <c r="F132" s="9"/>
    </row>
    <row r="133" spans="1:19" ht="17.100000000000001" customHeight="1">
      <c r="A133" s="10" t="s">
        <v>134</v>
      </c>
      <c r="B133" s="7">
        <f t="shared" si="2"/>
        <v>492.5</v>
      </c>
      <c r="C133" s="7">
        <f>SUM(55+60+82.5+80+80)</f>
        <v>357.5</v>
      </c>
      <c r="D133" s="7">
        <f>SUM(50+54)</f>
        <v>104</v>
      </c>
      <c r="E133" s="9">
        <f>SUM(31)</f>
        <v>31</v>
      </c>
      <c r="F133" s="9"/>
    </row>
    <row r="134" spans="1:19" s="9" customFormat="1" ht="17.100000000000001" customHeight="1">
      <c r="A134" s="10" t="s">
        <v>135</v>
      </c>
      <c r="B134" s="7">
        <f t="shared" si="2"/>
        <v>407.5</v>
      </c>
      <c r="C134" s="7">
        <f>SUM(34+80+80+82)</f>
        <v>276</v>
      </c>
      <c r="D134" s="7">
        <f>SUM(40.5)</f>
        <v>40.5</v>
      </c>
      <c r="E134" s="9">
        <f>SUM(34+57)</f>
        <v>91</v>
      </c>
    </row>
    <row r="135" spans="1:19" s="9" customFormat="1" ht="17.100000000000001" customHeight="1">
      <c r="A135" s="10" t="s">
        <v>136</v>
      </c>
      <c r="B135" s="7">
        <f t="shared" si="2"/>
        <v>128.6</v>
      </c>
      <c r="C135" s="7">
        <v>0</v>
      </c>
      <c r="D135" s="7">
        <v>0</v>
      </c>
      <c r="E135" s="9">
        <f>SUM(48.4+30.6+49.6)</f>
        <v>128.6</v>
      </c>
    </row>
    <row r="136" spans="1:19" s="9" customFormat="1" ht="17.100000000000001" customHeight="1">
      <c r="A136" s="10" t="s">
        <v>137</v>
      </c>
      <c r="B136" s="7">
        <f t="shared" si="2"/>
        <v>128.6</v>
      </c>
      <c r="C136" s="7">
        <v>0</v>
      </c>
      <c r="D136" s="7">
        <v>0</v>
      </c>
      <c r="E136" s="9">
        <f>SUM(30.6+48.4+49.6)</f>
        <v>128.6</v>
      </c>
    </row>
    <row r="137" spans="1:19" s="9" customFormat="1" ht="17.100000000000001" customHeight="1">
      <c r="A137" s="6" t="s">
        <v>138</v>
      </c>
      <c r="B137" s="7">
        <f t="shared" si="2"/>
        <v>128</v>
      </c>
      <c r="C137" s="7">
        <v>0</v>
      </c>
      <c r="D137" s="7">
        <v>0</v>
      </c>
      <c r="E137" s="8"/>
      <c r="F137" s="8"/>
      <c r="G137" s="8"/>
      <c r="H137" s="8"/>
      <c r="I137" s="8"/>
      <c r="J137" s="8"/>
      <c r="K137" s="8"/>
      <c r="L137" s="8">
        <v>128</v>
      </c>
      <c r="M137" s="8"/>
      <c r="N137" s="8"/>
      <c r="O137" s="8"/>
      <c r="P137" s="8"/>
      <c r="Q137" s="8"/>
      <c r="R137" s="8"/>
      <c r="S137" s="8"/>
    </row>
    <row r="138" spans="1:19" ht="17.100000000000001" customHeight="1">
      <c r="A138" s="6" t="s">
        <v>139</v>
      </c>
      <c r="B138" s="7">
        <f t="shared" si="2"/>
        <v>125</v>
      </c>
      <c r="C138" s="7">
        <v>0</v>
      </c>
      <c r="D138" s="7">
        <v>0</v>
      </c>
      <c r="E138" s="8"/>
      <c r="F138" s="8"/>
      <c r="G138" s="8">
        <v>30</v>
      </c>
      <c r="H138" s="8">
        <v>26</v>
      </c>
      <c r="I138" s="8"/>
      <c r="J138" s="8"/>
      <c r="K138" s="8">
        <v>69</v>
      </c>
      <c r="L138" s="8"/>
      <c r="M138" s="8"/>
      <c r="N138" s="8"/>
      <c r="O138" s="8"/>
      <c r="P138" s="8"/>
      <c r="Q138" s="8"/>
      <c r="R138" s="8"/>
      <c r="S138" s="8"/>
    </row>
    <row r="139" spans="1:19" ht="17.100000000000001" customHeight="1">
      <c r="A139" s="6" t="s">
        <v>140</v>
      </c>
      <c r="B139" s="7">
        <f t="shared" si="2"/>
        <v>290.60000000000002</v>
      </c>
      <c r="C139" s="7">
        <f>SUM(54+31.6+80)</f>
        <v>165.6</v>
      </c>
      <c r="D139" s="7">
        <v>0</v>
      </c>
      <c r="E139" s="8">
        <f>SUM(50)</f>
        <v>50</v>
      </c>
      <c r="F139" s="8">
        <f>SUM(30+45)</f>
        <v>75</v>
      </c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</row>
    <row r="140" spans="1:19" s="9" customFormat="1" ht="17.100000000000001" customHeight="1">
      <c r="A140" s="10" t="s">
        <v>141</v>
      </c>
      <c r="B140" s="7">
        <f t="shared" si="2"/>
        <v>125</v>
      </c>
      <c r="C140" s="7">
        <v>0</v>
      </c>
      <c r="D140" s="7">
        <v>0</v>
      </c>
      <c r="E140" s="9">
        <f>SUM(34+34+57)</f>
        <v>125</v>
      </c>
    </row>
    <row r="141" spans="1:19" ht="17.100000000000001" customHeight="1">
      <c r="A141" s="6" t="s">
        <v>142</v>
      </c>
      <c r="B141" s="7">
        <f t="shared" si="2"/>
        <v>122.6</v>
      </c>
      <c r="C141" s="7">
        <v>0</v>
      </c>
      <c r="D141" s="7">
        <v>0</v>
      </c>
      <c r="E141" s="8">
        <f>SUM(31.6+57)</f>
        <v>88.6</v>
      </c>
      <c r="F141" s="8">
        <f>SUM(34)</f>
        <v>34</v>
      </c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</row>
    <row r="142" spans="1:19" ht="17.100000000000001" customHeight="1">
      <c r="A142" s="6" t="s">
        <v>143</v>
      </c>
      <c r="B142" s="7">
        <f t="shared" si="2"/>
        <v>122</v>
      </c>
      <c r="C142" s="7">
        <v>0</v>
      </c>
      <c r="D142" s="7">
        <v>0</v>
      </c>
      <c r="E142" s="8"/>
      <c r="F142" s="8"/>
      <c r="G142" s="8"/>
      <c r="H142" s="8"/>
      <c r="I142" s="8"/>
      <c r="J142" s="8">
        <v>55</v>
      </c>
      <c r="K142" s="8">
        <v>67</v>
      </c>
      <c r="L142" s="8"/>
      <c r="M142" s="8"/>
      <c r="N142" s="8"/>
      <c r="O142" s="8"/>
      <c r="P142" s="8"/>
      <c r="Q142" s="8"/>
      <c r="R142" s="8"/>
      <c r="S142" s="8"/>
    </row>
    <row r="143" spans="1:19" ht="17.100000000000001" customHeight="1">
      <c r="A143" s="6" t="s">
        <v>144</v>
      </c>
      <c r="B143" s="7">
        <f t="shared" si="2"/>
        <v>122</v>
      </c>
      <c r="C143" s="7">
        <v>0</v>
      </c>
      <c r="D143" s="7">
        <v>0</v>
      </c>
      <c r="E143" s="8"/>
      <c r="F143" s="8"/>
      <c r="G143" s="8"/>
      <c r="H143" s="8"/>
      <c r="I143" s="8"/>
      <c r="J143" s="8"/>
      <c r="K143" s="8"/>
      <c r="L143" s="8">
        <v>51</v>
      </c>
      <c r="M143" s="8">
        <v>40</v>
      </c>
      <c r="N143" s="8">
        <v>31</v>
      </c>
      <c r="O143" s="8"/>
      <c r="P143" s="8"/>
      <c r="Q143" s="8"/>
      <c r="R143" s="8"/>
      <c r="S143" s="8"/>
    </row>
    <row r="144" spans="1:19" ht="17.100000000000001" customHeight="1">
      <c r="A144" s="6" t="s">
        <v>145</v>
      </c>
      <c r="B144" s="7">
        <f t="shared" si="2"/>
        <v>121</v>
      </c>
      <c r="C144" s="7">
        <v>0</v>
      </c>
      <c r="D144" s="7">
        <v>0</v>
      </c>
      <c r="E144" s="8"/>
      <c r="F144" s="8"/>
      <c r="G144" s="8"/>
      <c r="H144" s="8">
        <v>42</v>
      </c>
      <c r="I144" s="8">
        <v>42</v>
      </c>
      <c r="J144" s="8"/>
      <c r="K144" s="8">
        <v>37</v>
      </c>
      <c r="L144" s="8"/>
      <c r="M144" s="8"/>
      <c r="N144" s="8"/>
      <c r="O144" s="8"/>
      <c r="P144" s="8"/>
      <c r="Q144" s="8"/>
      <c r="R144" s="8"/>
      <c r="S144" s="8"/>
    </row>
    <row r="145" spans="1:19" ht="17.100000000000001" customHeight="1">
      <c r="A145" s="10" t="s">
        <v>146</v>
      </c>
      <c r="B145" s="7">
        <f t="shared" si="2"/>
        <v>120</v>
      </c>
      <c r="C145" s="7">
        <v>0</v>
      </c>
      <c r="D145" s="7">
        <f>SUM(120)</f>
        <v>120</v>
      </c>
      <c r="F145" s="9"/>
    </row>
    <row r="146" spans="1:19" ht="17.100000000000001" customHeight="1">
      <c r="A146" s="13" t="s">
        <v>147</v>
      </c>
      <c r="B146" s="7">
        <f t="shared" si="2"/>
        <v>118</v>
      </c>
      <c r="C146" s="7">
        <v>0</v>
      </c>
      <c r="D146" s="7">
        <f>SUM(32+52+34)</f>
        <v>118</v>
      </c>
    </row>
    <row r="147" spans="1:19" s="9" customFormat="1" ht="17.100000000000001" customHeight="1">
      <c r="A147" s="10" t="s">
        <v>148</v>
      </c>
      <c r="B147" s="7">
        <f t="shared" si="2"/>
        <v>117.6</v>
      </c>
      <c r="C147" s="7">
        <v>0</v>
      </c>
      <c r="D147" s="7">
        <f>SUM(83)</f>
        <v>83</v>
      </c>
      <c r="E147" s="9">
        <f>SUM(34.6)</f>
        <v>34.6</v>
      </c>
    </row>
    <row r="148" spans="1:19" s="9" customFormat="1" ht="17.100000000000001" customHeight="1">
      <c r="A148" s="10" t="s">
        <v>149</v>
      </c>
      <c r="B148" s="7">
        <f t="shared" si="2"/>
        <v>115.6</v>
      </c>
      <c r="C148" s="7">
        <v>0</v>
      </c>
      <c r="D148" s="7">
        <f>SUM(54)</f>
        <v>54</v>
      </c>
      <c r="E148" s="9">
        <f>SUM(30+31.6)</f>
        <v>61.6</v>
      </c>
    </row>
    <row r="149" spans="1:19" s="9" customFormat="1" ht="17.100000000000001" customHeight="1">
      <c r="A149" s="6" t="s">
        <v>150</v>
      </c>
      <c r="B149" s="7">
        <f t="shared" si="2"/>
        <v>105</v>
      </c>
      <c r="C149" s="7">
        <v>0</v>
      </c>
      <c r="D149" s="7">
        <v>0</v>
      </c>
      <c r="E149" s="8">
        <f>SUM(34)</f>
        <v>34</v>
      </c>
      <c r="F149" s="8">
        <f>SUM(34+37)</f>
        <v>71</v>
      </c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</row>
    <row r="150" spans="1:19" ht="17.100000000000001" customHeight="1">
      <c r="A150" s="6" t="s">
        <v>151</v>
      </c>
      <c r="B150" s="7">
        <f t="shared" si="2"/>
        <v>102</v>
      </c>
      <c r="C150" s="7">
        <v>0</v>
      </c>
      <c r="D150" s="7">
        <v>0</v>
      </c>
      <c r="E150" s="8"/>
      <c r="F150" s="8"/>
      <c r="G150" s="8">
        <v>60</v>
      </c>
      <c r="H150" s="8">
        <v>42</v>
      </c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</row>
    <row r="151" spans="1:19" ht="17.100000000000001" customHeight="1">
      <c r="A151" s="10" t="s">
        <v>152</v>
      </c>
      <c r="B151" s="7">
        <f t="shared" si="2"/>
        <v>101.6</v>
      </c>
      <c r="C151" s="7">
        <v>0</v>
      </c>
      <c r="D151" s="7">
        <f>SUM(67)</f>
        <v>67</v>
      </c>
      <c r="E151" s="9">
        <f>SUM(34.6)</f>
        <v>34.6</v>
      </c>
      <c r="F151" s="9"/>
    </row>
    <row r="152" spans="1:19" ht="17.100000000000001" customHeight="1">
      <c r="A152" s="10" t="s">
        <v>153</v>
      </c>
      <c r="B152" s="7">
        <f t="shared" si="2"/>
        <v>99.6</v>
      </c>
      <c r="C152" s="7">
        <v>0</v>
      </c>
      <c r="D152" s="7">
        <v>0</v>
      </c>
      <c r="E152" s="9">
        <f>SUM(30+31.6+38)</f>
        <v>99.6</v>
      </c>
      <c r="F152" s="9"/>
    </row>
    <row r="153" spans="1:19" ht="17.100000000000001" customHeight="1">
      <c r="A153" s="10" t="s">
        <v>154</v>
      </c>
      <c r="B153" s="7">
        <f t="shared" si="2"/>
        <v>97</v>
      </c>
      <c r="C153" s="7">
        <v>0</v>
      </c>
      <c r="D153" s="7">
        <v>0</v>
      </c>
      <c r="E153" s="9">
        <f>SUM(38+59)</f>
        <v>97</v>
      </c>
      <c r="F153" s="9"/>
    </row>
    <row r="154" spans="1:19" ht="17.100000000000001" customHeight="1">
      <c r="A154" s="10" t="s">
        <v>155</v>
      </c>
      <c r="B154" s="7">
        <f t="shared" si="2"/>
        <v>340.6</v>
      </c>
      <c r="C154" s="7">
        <f>SUM(53.6+60+80+50)</f>
        <v>243.6</v>
      </c>
      <c r="D154" s="7">
        <f>SUM(31+34+32)</f>
        <v>97</v>
      </c>
      <c r="F154" s="9"/>
    </row>
    <row r="155" spans="1:19" ht="17.100000000000001" customHeight="1">
      <c r="A155" s="6" t="s">
        <v>156</v>
      </c>
      <c r="B155" s="7">
        <f t="shared" si="2"/>
        <v>94</v>
      </c>
      <c r="C155" s="7">
        <v>0</v>
      </c>
      <c r="D155" s="7">
        <v>0</v>
      </c>
      <c r="E155" s="8"/>
      <c r="F155" s="8"/>
      <c r="G155" s="8"/>
      <c r="H155" s="8"/>
      <c r="I155" s="8"/>
      <c r="J155" s="8">
        <v>94</v>
      </c>
      <c r="K155" s="8"/>
      <c r="L155" s="8"/>
      <c r="M155" s="8"/>
      <c r="N155" s="8"/>
      <c r="O155" s="8"/>
      <c r="P155" s="8"/>
      <c r="Q155" s="8"/>
      <c r="R155" s="8"/>
      <c r="S155" s="8"/>
    </row>
    <row r="156" spans="1:19" ht="17.100000000000001" customHeight="1">
      <c r="A156" s="6" t="s">
        <v>157</v>
      </c>
      <c r="B156" s="7">
        <f t="shared" si="2"/>
        <v>91.5</v>
      </c>
      <c r="C156" s="7">
        <v>0</v>
      </c>
      <c r="D156" s="7">
        <v>0</v>
      </c>
      <c r="E156" s="8"/>
      <c r="F156" s="8"/>
      <c r="G156" s="8"/>
      <c r="H156" s="8"/>
      <c r="I156" s="8">
        <v>57.5</v>
      </c>
      <c r="J156" s="8">
        <v>34</v>
      </c>
      <c r="K156" s="8"/>
      <c r="L156" s="8"/>
      <c r="M156" s="8"/>
      <c r="N156" s="8"/>
      <c r="O156" s="8"/>
      <c r="P156" s="8"/>
      <c r="Q156" s="8"/>
      <c r="R156" s="8"/>
      <c r="S156" s="8"/>
    </row>
    <row r="157" spans="1:19" ht="17.100000000000001" customHeight="1">
      <c r="A157" s="6" t="s">
        <v>158</v>
      </c>
      <c r="B157" s="7">
        <f t="shared" si="2"/>
        <v>90</v>
      </c>
      <c r="C157" s="7">
        <v>0</v>
      </c>
      <c r="D157" s="7">
        <v>0</v>
      </c>
      <c r="E157" s="8"/>
      <c r="F157" s="8"/>
      <c r="G157" s="8"/>
      <c r="H157" s="8"/>
      <c r="I157" s="8"/>
      <c r="J157" s="8"/>
      <c r="K157" s="8"/>
      <c r="L157" s="8"/>
      <c r="M157" s="8">
        <v>90</v>
      </c>
      <c r="N157" s="8"/>
      <c r="O157" s="8"/>
      <c r="P157" s="8"/>
      <c r="Q157" s="8"/>
      <c r="R157" s="8"/>
      <c r="S157" s="8"/>
    </row>
    <row r="158" spans="1:19" s="9" customFormat="1" ht="17.100000000000001" customHeight="1">
      <c r="A158" s="6" t="s">
        <v>159</v>
      </c>
      <c r="B158" s="7">
        <f t="shared" si="2"/>
        <v>89</v>
      </c>
      <c r="C158" s="7">
        <v>0</v>
      </c>
      <c r="D158" s="7">
        <v>0</v>
      </c>
      <c r="E158" s="8"/>
      <c r="F158" s="8"/>
      <c r="G158" s="8"/>
      <c r="H158" s="8"/>
      <c r="I158" s="8"/>
      <c r="J158" s="8"/>
      <c r="K158" s="8"/>
      <c r="L158" s="8"/>
      <c r="M158" s="8">
        <v>89</v>
      </c>
      <c r="N158" s="8"/>
      <c r="O158" s="8"/>
      <c r="P158" s="8"/>
      <c r="Q158" s="8"/>
      <c r="R158" s="8"/>
      <c r="S158" s="8"/>
    </row>
    <row r="159" spans="1:19" s="9" customFormat="1" ht="17.100000000000001" customHeight="1">
      <c r="A159" s="10" t="s">
        <v>160</v>
      </c>
      <c r="B159" s="7">
        <f t="shared" si="2"/>
        <v>88</v>
      </c>
      <c r="C159" s="7">
        <v>0</v>
      </c>
      <c r="D159" s="7">
        <v>0</v>
      </c>
      <c r="E159" s="8">
        <f>SUM(51)</f>
        <v>51</v>
      </c>
      <c r="F159" s="8">
        <f>SUM(37)</f>
        <v>37</v>
      </c>
    </row>
    <row r="160" spans="1:19" ht="17.100000000000001" customHeight="1">
      <c r="A160" s="6" t="s">
        <v>161</v>
      </c>
      <c r="B160" s="7">
        <f t="shared" si="2"/>
        <v>87</v>
      </c>
      <c r="C160" s="7">
        <v>0</v>
      </c>
      <c r="D160" s="7">
        <v>0</v>
      </c>
      <c r="E160" s="8"/>
      <c r="F160" s="8"/>
      <c r="G160" s="8">
        <v>45</v>
      </c>
      <c r="H160" s="8">
        <v>42</v>
      </c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</row>
    <row r="161" spans="1:19" ht="17.100000000000001" customHeight="1">
      <c r="A161" s="6" t="s">
        <v>162</v>
      </c>
      <c r="B161" s="7">
        <f t="shared" si="2"/>
        <v>222</v>
      </c>
      <c r="C161" s="7">
        <f>SUM(55+80)</f>
        <v>135</v>
      </c>
      <c r="D161" s="7">
        <f>SUM(31+56)</f>
        <v>87</v>
      </c>
      <c r="F161" s="9"/>
    </row>
    <row r="162" spans="1:19" ht="17.100000000000001" customHeight="1">
      <c r="A162" s="6" t="s">
        <v>163</v>
      </c>
      <c r="B162" s="7">
        <f t="shared" si="2"/>
        <v>86.9</v>
      </c>
      <c r="C162" s="7">
        <v>0</v>
      </c>
      <c r="D162" s="7">
        <v>0</v>
      </c>
      <c r="E162" s="8">
        <f>SUM(48.4)</f>
        <v>48.4</v>
      </c>
      <c r="F162" s="8">
        <f>SUM(38.5)</f>
        <v>38.5</v>
      </c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</row>
    <row r="163" spans="1:19" ht="17.100000000000001" customHeight="1">
      <c r="A163" s="10" t="s">
        <v>164</v>
      </c>
      <c r="B163" s="7">
        <f t="shared" si="2"/>
        <v>266.10000000000002</v>
      </c>
      <c r="C163" s="7">
        <f>SUM(35+53.6+52+40)</f>
        <v>180.6</v>
      </c>
      <c r="D163" s="7">
        <f>SUM(30+55.5)</f>
        <v>85.5</v>
      </c>
      <c r="F163" s="9"/>
    </row>
    <row r="164" spans="1:19" ht="17.100000000000001" customHeight="1">
      <c r="A164" s="6" t="s">
        <v>148</v>
      </c>
      <c r="B164" s="7">
        <f t="shared" si="2"/>
        <v>84.8</v>
      </c>
      <c r="C164" s="7">
        <v>0</v>
      </c>
      <c r="D164" s="7">
        <f>SUM(42.4+42.4)</f>
        <v>84.8</v>
      </c>
    </row>
    <row r="165" spans="1:19" ht="17.100000000000001" customHeight="1">
      <c r="A165" s="6" t="s">
        <v>165</v>
      </c>
      <c r="B165" s="7">
        <f t="shared" si="2"/>
        <v>83</v>
      </c>
      <c r="C165" s="7">
        <v>0</v>
      </c>
      <c r="D165" s="7">
        <v>0</v>
      </c>
      <c r="E165" s="8"/>
      <c r="F165" s="8"/>
      <c r="G165" s="8"/>
      <c r="H165" s="8"/>
      <c r="I165" s="8"/>
      <c r="J165" s="8"/>
      <c r="K165" s="8">
        <v>83</v>
      </c>
      <c r="L165" s="8"/>
      <c r="M165" s="8"/>
      <c r="N165" s="8"/>
      <c r="O165" s="8"/>
      <c r="P165" s="8"/>
      <c r="Q165" s="8"/>
      <c r="R165" s="8"/>
      <c r="S165" s="8"/>
    </row>
    <row r="166" spans="1:19" ht="17.100000000000001" customHeight="1">
      <c r="A166" s="10" t="s">
        <v>166</v>
      </c>
      <c r="B166" s="7">
        <f t="shared" si="2"/>
        <v>80.599999999999994</v>
      </c>
      <c r="C166" s="7">
        <v>0</v>
      </c>
      <c r="D166" s="7">
        <v>0</v>
      </c>
      <c r="E166" s="9">
        <f>SUM(31+49.6)</f>
        <v>80.599999999999994</v>
      </c>
      <c r="F166" s="9"/>
    </row>
    <row r="167" spans="1:19" ht="17.100000000000001" customHeight="1">
      <c r="A167" s="10" t="s">
        <v>167</v>
      </c>
      <c r="B167" s="7">
        <f t="shared" si="2"/>
        <v>79.5</v>
      </c>
      <c r="C167" s="7">
        <v>0</v>
      </c>
      <c r="D167" s="7">
        <f>SUM(40.5)</f>
        <v>40.5</v>
      </c>
      <c r="E167" s="9">
        <f>SUM(39)</f>
        <v>39</v>
      </c>
      <c r="F167" s="9"/>
    </row>
    <row r="168" spans="1:19" ht="17.100000000000001" customHeight="1">
      <c r="A168" s="10" t="s">
        <v>168</v>
      </c>
      <c r="B168" s="7">
        <f t="shared" si="2"/>
        <v>79</v>
      </c>
      <c r="C168" s="7">
        <v>0</v>
      </c>
      <c r="D168" s="7">
        <v>0</v>
      </c>
      <c r="E168" s="9">
        <f>SUM(48.4+30.6)</f>
        <v>79</v>
      </c>
      <c r="F168" s="9"/>
    </row>
    <row r="169" spans="1:19" s="9" customFormat="1" ht="17.100000000000001" customHeight="1">
      <c r="A169" s="6" t="s">
        <v>169</v>
      </c>
      <c r="B169" s="7">
        <f t="shared" si="2"/>
        <v>77.5</v>
      </c>
      <c r="C169" s="7">
        <v>0</v>
      </c>
      <c r="D169" s="7">
        <v>0</v>
      </c>
      <c r="E169" s="8"/>
      <c r="F169" s="8">
        <f>SUM(39+38.5)</f>
        <v>77.5</v>
      </c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</row>
    <row r="170" spans="1:19" ht="17.100000000000001" customHeight="1">
      <c r="A170" s="6" t="s">
        <v>170</v>
      </c>
      <c r="B170" s="7">
        <f t="shared" si="2"/>
        <v>77.5</v>
      </c>
      <c r="C170" s="7">
        <v>0</v>
      </c>
      <c r="D170" s="7">
        <v>0</v>
      </c>
      <c r="E170" s="8"/>
      <c r="F170" s="8">
        <f>SUM(39+38.5)</f>
        <v>77.5</v>
      </c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</row>
    <row r="171" spans="1:19" ht="17.100000000000001" customHeight="1">
      <c r="A171" s="6" t="s">
        <v>171</v>
      </c>
      <c r="B171" s="7">
        <f t="shared" si="2"/>
        <v>77.5</v>
      </c>
      <c r="C171" s="7">
        <v>0</v>
      </c>
      <c r="D171" s="7">
        <v>0</v>
      </c>
      <c r="E171" s="8"/>
      <c r="F171" s="8">
        <f>SUM(39+38.5)</f>
        <v>77.5</v>
      </c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</row>
    <row r="172" spans="1:19" ht="17.100000000000001" customHeight="1">
      <c r="A172" s="6" t="s">
        <v>172</v>
      </c>
      <c r="B172" s="7">
        <f t="shared" si="2"/>
        <v>76</v>
      </c>
      <c r="C172" s="7">
        <v>0</v>
      </c>
      <c r="D172" s="7">
        <f>SUM(32+44)</f>
        <v>76</v>
      </c>
    </row>
    <row r="173" spans="1:19" ht="17.100000000000001" customHeight="1">
      <c r="A173" s="11" t="s">
        <v>173</v>
      </c>
      <c r="B173" s="7">
        <f t="shared" si="2"/>
        <v>75.199999999999989</v>
      </c>
      <c r="C173" s="7">
        <v>0</v>
      </c>
      <c r="D173" s="7">
        <f>SUM(32.8+42.4)</f>
        <v>75.199999999999989</v>
      </c>
    </row>
    <row r="174" spans="1:19" ht="17.100000000000001" customHeight="1">
      <c r="A174" s="6" t="s">
        <v>174</v>
      </c>
      <c r="B174" s="7">
        <f t="shared" si="2"/>
        <v>337.6</v>
      </c>
      <c r="C174" s="7">
        <f>SUM(53.6+49+80+80)</f>
        <v>262.60000000000002</v>
      </c>
      <c r="D174" s="7">
        <f>SUM(31+44)</f>
        <v>75</v>
      </c>
    </row>
    <row r="175" spans="1:19" ht="17.100000000000001" customHeight="1">
      <c r="A175" s="6" t="s">
        <v>175</v>
      </c>
      <c r="B175" s="7">
        <f t="shared" si="2"/>
        <v>74.5</v>
      </c>
      <c r="C175" s="7">
        <v>0</v>
      </c>
      <c r="D175" s="7">
        <v>0</v>
      </c>
      <c r="E175" s="8"/>
      <c r="F175" s="8"/>
      <c r="G175" s="8"/>
      <c r="H175" s="8">
        <v>74.5</v>
      </c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</row>
    <row r="176" spans="1:19" ht="17.100000000000001" customHeight="1">
      <c r="A176" s="6" t="s">
        <v>176</v>
      </c>
      <c r="B176" s="7">
        <f t="shared" si="2"/>
        <v>208.1</v>
      </c>
      <c r="C176" s="7">
        <f>SUM(53.6+80)</f>
        <v>133.6</v>
      </c>
      <c r="D176" s="7">
        <f>SUM(34+40.5)</f>
        <v>74.5</v>
      </c>
    </row>
    <row r="177" spans="1:19" ht="17.100000000000001" customHeight="1">
      <c r="A177" s="10" t="s">
        <v>177</v>
      </c>
      <c r="B177" s="7">
        <f t="shared" si="2"/>
        <v>73</v>
      </c>
      <c r="C177" s="7">
        <v>0</v>
      </c>
      <c r="D177" s="7">
        <f>SUM(42.4)</f>
        <v>42.4</v>
      </c>
      <c r="E177" s="8">
        <f>SUM(30.6)</f>
        <v>30.6</v>
      </c>
      <c r="F177" s="9"/>
    </row>
    <row r="178" spans="1:19" ht="17.100000000000001" customHeight="1">
      <c r="A178" s="6" t="s">
        <v>178</v>
      </c>
      <c r="B178" s="7">
        <f t="shared" si="2"/>
        <v>72.5</v>
      </c>
      <c r="C178" s="7">
        <v>0</v>
      </c>
      <c r="D178" s="7">
        <v>0</v>
      </c>
      <c r="E178" s="8"/>
      <c r="F178" s="8">
        <f>SUM(34+38.5)</f>
        <v>72.5</v>
      </c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</row>
    <row r="179" spans="1:19" ht="17.100000000000001" customHeight="1">
      <c r="A179" s="6" t="s">
        <v>179</v>
      </c>
      <c r="B179" s="7">
        <f t="shared" si="2"/>
        <v>72</v>
      </c>
      <c r="C179" s="7">
        <v>0</v>
      </c>
      <c r="D179" s="7">
        <v>0</v>
      </c>
      <c r="E179" s="8"/>
      <c r="F179" s="8"/>
      <c r="G179" s="8"/>
      <c r="H179" s="8"/>
      <c r="I179" s="8"/>
      <c r="J179" s="8">
        <v>33</v>
      </c>
      <c r="K179" s="8">
        <v>39</v>
      </c>
      <c r="L179" s="8"/>
      <c r="M179" s="8"/>
      <c r="N179" s="8"/>
      <c r="O179" s="8"/>
      <c r="P179" s="8"/>
      <c r="Q179" s="8"/>
      <c r="R179" s="8"/>
      <c r="S179" s="8"/>
    </row>
    <row r="180" spans="1:19" s="9" customFormat="1" ht="17.100000000000001" customHeight="1">
      <c r="A180" s="6" t="s">
        <v>180</v>
      </c>
      <c r="B180" s="7">
        <f t="shared" si="2"/>
        <v>72</v>
      </c>
      <c r="C180" s="7">
        <v>0</v>
      </c>
      <c r="D180" s="7">
        <v>0</v>
      </c>
      <c r="E180" s="8"/>
      <c r="F180" s="8"/>
      <c r="G180" s="8"/>
      <c r="H180" s="8"/>
      <c r="I180" s="8"/>
      <c r="J180" s="8">
        <v>34</v>
      </c>
      <c r="K180" s="8"/>
      <c r="L180" s="8"/>
      <c r="M180" s="8">
        <v>38</v>
      </c>
      <c r="N180" s="8"/>
      <c r="O180" s="8"/>
      <c r="P180" s="8"/>
      <c r="Q180" s="8"/>
      <c r="R180" s="8"/>
      <c r="S180" s="8"/>
    </row>
    <row r="181" spans="1:19" s="9" customFormat="1" ht="17.100000000000001" customHeight="1">
      <c r="A181" s="6" t="s">
        <v>181</v>
      </c>
      <c r="B181" s="7">
        <f t="shared" si="2"/>
        <v>72</v>
      </c>
      <c r="C181" s="7">
        <v>0</v>
      </c>
      <c r="D181" s="7">
        <v>0</v>
      </c>
      <c r="E181" s="8"/>
      <c r="F181" s="8"/>
      <c r="G181" s="8"/>
      <c r="H181" s="8"/>
      <c r="I181" s="8"/>
      <c r="J181" s="8"/>
      <c r="K181" s="8"/>
      <c r="L181" s="8"/>
      <c r="M181" s="8">
        <v>72</v>
      </c>
      <c r="N181" s="8"/>
      <c r="O181" s="8"/>
      <c r="P181" s="8"/>
      <c r="Q181" s="8"/>
      <c r="R181" s="8"/>
      <c r="S181" s="8"/>
    </row>
    <row r="182" spans="1:19" ht="17.100000000000001" customHeight="1">
      <c r="A182" s="10" t="s">
        <v>182</v>
      </c>
      <c r="B182" s="7">
        <f t="shared" si="2"/>
        <v>72</v>
      </c>
      <c r="C182" s="7">
        <v>0</v>
      </c>
      <c r="D182" s="7">
        <v>0</v>
      </c>
      <c r="E182" s="8">
        <f>SUM(42+30)</f>
        <v>72</v>
      </c>
      <c r="F182" s="9"/>
    </row>
    <row r="183" spans="1:19" ht="17.100000000000001" customHeight="1">
      <c r="A183" s="6" t="s">
        <v>183</v>
      </c>
      <c r="B183" s="7">
        <f t="shared" si="2"/>
        <v>69</v>
      </c>
      <c r="C183" s="7">
        <v>0</v>
      </c>
      <c r="D183" s="7">
        <v>0</v>
      </c>
      <c r="E183" s="8"/>
      <c r="F183" s="8"/>
      <c r="G183" s="8"/>
      <c r="H183" s="8"/>
      <c r="I183" s="8"/>
      <c r="J183" s="8"/>
      <c r="K183" s="8"/>
      <c r="L183" s="8"/>
      <c r="M183" s="8">
        <v>69</v>
      </c>
      <c r="N183" s="8"/>
      <c r="O183" s="8"/>
      <c r="P183" s="8"/>
      <c r="Q183" s="8"/>
      <c r="R183" s="8"/>
      <c r="S183" s="8"/>
    </row>
    <row r="184" spans="1:19" ht="17.100000000000001" customHeight="1">
      <c r="A184" s="6" t="s">
        <v>184</v>
      </c>
      <c r="B184" s="7">
        <f t="shared" si="2"/>
        <v>69</v>
      </c>
      <c r="C184" s="7">
        <v>0</v>
      </c>
      <c r="D184" s="7">
        <v>0</v>
      </c>
      <c r="E184" s="8"/>
      <c r="F184" s="8"/>
      <c r="G184" s="8"/>
      <c r="H184" s="8"/>
      <c r="I184" s="8"/>
      <c r="J184" s="8"/>
      <c r="K184" s="8"/>
      <c r="L184" s="8"/>
      <c r="M184" s="8">
        <v>69</v>
      </c>
      <c r="N184" s="8"/>
      <c r="O184" s="8"/>
      <c r="P184" s="8"/>
      <c r="Q184" s="8"/>
      <c r="R184" s="8"/>
      <c r="S184" s="8"/>
    </row>
    <row r="185" spans="1:19" ht="17.100000000000001" customHeight="1">
      <c r="A185" s="6" t="s">
        <v>185</v>
      </c>
      <c r="B185" s="7">
        <f t="shared" si="2"/>
        <v>69</v>
      </c>
      <c r="C185" s="7">
        <v>0</v>
      </c>
      <c r="D185" s="7">
        <v>0</v>
      </c>
      <c r="E185" s="8"/>
      <c r="F185" s="8"/>
      <c r="G185" s="8"/>
      <c r="H185" s="8"/>
      <c r="I185" s="8"/>
      <c r="J185" s="8"/>
      <c r="K185" s="8"/>
      <c r="L185" s="8"/>
      <c r="M185" s="8">
        <v>69</v>
      </c>
      <c r="N185" s="8"/>
      <c r="O185" s="8"/>
      <c r="P185" s="8"/>
      <c r="Q185" s="8"/>
      <c r="R185" s="8"/>
      <c r="S185" s="8"/>
    </row>
    <row r="186" spans="1:19" ht="17.100000000000001" customHeight="1">
      <c r="A186" s="6" t="s">
        <v>186</v>
      </c>
      <c r="B186" s="7">
        <f t="shared" si="2"/>
        <v>68</v>
      </c>
      <c r="C186" s="7">
        <v>0</v>
      </c>
      <c r="D186" s="7">
        <v>0</v>
      </c>
      <c r="E186" s="8"/>
      <c r="F186" s="8"/>
      <c r="G186" s="8"/>
      <c r="H186" s="8"/>
      <c r="I186" s="8"/>
      <c r="J186" s="8"/>
      <c r="K186" s="8"/>
      <c r="L186" s="8"/>
      <c r="M186" s="8">
        <v>68</v>
      </c>
      <c r="N186" s="8"/>
      <c r="O186" s="8"/>
      <c r="P186" s="8"/>
      <c r="Q186" s="8"/>
      <c r="R186" s="8"/>
      <c r="S186" s="8"/>
    </row>
    <row r="187" spans="1:19" ht="17.100000000000001" customHeight="1">
      <c r="A187" s="6" t="s">
        <v>187</v>
      </c>
      <c r="B187" s="7">
        <f t="shared" si="2"/>
        <v>68</v>
      </c>
      <c r="C187" s="7">
        <v>0</v>
      </c>
      <c r="D187" s="7">
        <v>0</v>
      </c>
      <c r="E187" s="8"/>
      <c r="F187" s="8">
        <f>SUM(34+34)</f>
        <v>68</v>
      </c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</row>
    <row r="188" spans="1:19" ht="17.100000000000001" customHeight="1">
      <c r="A188" s="10" t="s">
        <v>188</v>
      </c>
      <c r="B188" s="7">
        <f t="shared" si="2"/>
        <v>68</v>
      </c>
      <c r="C188" s="7">
        <v>0</v>
      </c>
      <c r="D188" s="7">
        <v>0</v>
      </c>
      <c r="E188" s="8"/>
      <c r="F188" s="8">
        <f>SUM(34+34)</f>
        <v>68</v>
      </c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</row>
    <row r="189" spans="1:19" ht="17.100000000000001" customHeight="1">
      <c r="A189" s="6" t="s">
        <v>189</v>
      </c>
      <c r="B189" s="7">
        <f t="shared" si="2"/>
        <v>66.400000000000006</v>
      </c>
      <c r="C189" s="7">
        <v>0</v>
      </c>
      <c r="D189" s="7">
        <f>SUM(33.6+32.8)</f>
        <v>66.400000000000006</v>
      </c>
    </row>
    <row r="190" spans="1:19" ht="17.100000000000001" customHeight="1">
      <c r="A190" s="6" t="s">
        <v>190</v>
      </c>
      <c r="B190" s="7">
        <f t="shared" si="2"/>
        <v>135</v>
      </c>
      <c r="C190" s="7">
        <f>SUM(35+34)</f>
        <v>69</v>
      </c>
      <c r="D190" s="7">
        <f>SUM(32+34)</f>
        <v>66</v>
      </c>
    </row>
    <row r="191" spans="1:19" ht="17.100000000000001" customHeight="1">
      <c r="A191" s="6" t="s">
        <v>191</v>
      </c>
      <c r="B191" s="7">
        <f t="shared" si="2"/>
        <v>66</v>
      </c>
      <c r="C191" s="7">
        <v>0</v>
      </c>
      <c r="D191" s="7">
        <v>0</v>
      </c>
      <c r="E191" s="8"/>
      <c r="F191" s="8"/>
      <c r="G191" s="8"/>
      <c r="H191" s="8"/>
      <c r="I191" s="8"/>
      <c r="J191" s="8"/>
      <c r="K191" s="8"/>
      <c r="L191" s="8">
        <v>66</v>
      </c>
      <c r="M191" s="8"/>
      <c r="N191" s="8"/>
      <c r="O191" s="8"/>
      <c r="P191" s="8"/>
      <c r="Q191" s="8"/>
      <c r="R191" s="8"/>
      <c r="S191" s="8"/>
    </row>
    <row r="192" spans="1:19" ht="17.100000000000001" customHeight="1">
      <c r="A192" s="6" t="s">
        <v>192</v>
      </c>
      <c r="B192" s="7">
        <f t="shared" si="2"/>
        <v>62</v>
      </c>
      <c r="C192" s="7">
        <v>0</v>
      </c>
      <c r="D192" s="7">
        <v>0</v>
      </c>
      <c r="E192" s="8"/>
      <c r="F192" s="8"/>
      <c r="G192" s="8"/>
      <c r="H192" s="8">
        <v>62</v>
      </c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</row>
    <row r="193" spans="1:19" ht="17.100000000000001" customHeight="1">
      <c r="A193" s="6" t="s">
        <v>193</v>
      </c>
      <c r="B193" s="7">
        <f t="shared" si="2"/>
        <v>246</v>
      </c>
      <c r="C193" s="7">
        <f>SUM(54+35+60+35)</f>
        <v>184</v>
      </c>
      <c r="D193" s="7">
        <f>SUM(31+31)</f>
        <v>62</v>
      </c>
    </row>
    <row r="194" spans="1:19" s="9" customFormat="1" ht="17.100000000000001" customHeight="1">
      <c r="A194" s="10" t="s">
        <v>194</v>
      </c>
      <c r="B194" s="7">
        <f t="shared" ref="B194:B257" si="3">SUM(C194:U194)</f>
        <v>61.6</v>
      </c>
      <c r="C194" s="7">
        <v>0</v>
      </c>
      <c r="D194" s="7">
        <v>0</v>
      </c>
      <c r="E194" s="8">
        <f>SUM(31.6)</f>
        <v>31.6</v>
      </c>
      <c r="F194" s="8">
        <f>SUM(30)</f>
        <v>30</v>
      </c>
    </row>
    <row r="195" spans="1:19" ht="17.100000000000001" customHeight="1">
      <c r="A195" s="10" t="s">
        <v>195</v>
      </c>
      <c r="B195" s="7">
        <f t="shared" si="3"/>
        <v>61.6</v>
      </c>
      <c r="C195" s="7">
        <v>0</v>
      </c>
      <c r="D195" s="7">
        <v>0</v>
      </c>
      <c r="E195" s="9">
        <f>SUM(30+31.6)</f>
        <v>61.6</v>
      </c>
      <c r="F195" s="9"/>
    </row>
    <row r="196" spans="1:19" s="9" customFormat="1" ht="17.100000000000001" customHeight="1">
      <c r="A196" s="6" t="s">
        <v>196</v>
      </c>
      <c r="B196" s="7">
        <f t="shared" si="3"/>
        <v>47</v>
      </c>
      <c r="C196" s="7">
        <v>0</v>
      </c>
      <c r="D196" s="7">
        <v>0</v>
      </c>
      <c r="E196" s="8"/>
      <c r="F196" s="8"/>
      <c r="G196" s="8"/>
      <c r="H196" s="8"/>
      <c r="I196" s="8">
        <v>47</v>
      </c>
      <c r="J196" s="8"/>
      <c r="K196" s="8"/>
      <c r="L196" s="8"/>
      <c r="M196" s="8"/>
      <c r="N196" s="8"/>
      <c r="O196" s="8"/>
      <c r="P196" s="8"/>
      <c r="Q196" s="8"/>
      <c r="R196" s="8"/>
      <c r="S196" s="8"/>
    </row>
    <row r="197" spans="1:19" s="9" customFormat="1" ht="17.100000000000001" customHeight="1">
      <c r="A197" s="6" t="s">
        <v>197</v>
      </c>
      <c r="B197" s="7">
        <f t="shared" si="3"/>
        <v>46.5</v>
      </c>
      <c r="C197" s="7">
        <v>0</v>
      </c>
      <c r="D197" s="7">
        <v>0</v>
      </c>
      <c r="E197" s="8"/>
      <c r="F197" s="8"/>
      <c r="G197" s="8"/>
      <c r="H197" s="8">
        <v>46.5</v>
      </c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</row>
    <row r="198" spans="1:19" s="9" customFormat="1" ht="17.100000000000001" customHeight="1">
      <c r="A198" s="6" t="s">
        <v>198</v>
      </c>
      <c r="B198" s="7">
        <f t="shared" si="3"/>
        <v>46.5</v>
      </c>
      <c r="C198" s="7">
        <v>0</v>
      </c>
      <c r="D198" s="7">
        <v>0</v>
      </c>
      <c r="E198" s="8"/>
      <c r="F198" s="8"/>
      <c r="G198" s="8"/>
      <c r="H198" s="8">
        <v>46.5</v>
      </c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</row>
    <row r="199" spans="1:19" s="9" customFormat="1" ht="17.100000000000001" customHeight="1">
      <c r="A199" s="6" t="s">
        <v>199</v>
      </c>
      <c r="B199" s="7">
        <f t="shared" si="3"/>
        <v>43.5</v>
      </c>
      <c r="C199" s="7">
        <v>0</v>
      </c>
      <c r="D199" s="7">
        <v>0</v>
      </c>
      <c r="E199" s="8"/>
      <c r="F199" s="8"/>
      <c r="G199" s="8">
        <v>43.5</v>
      </c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</row>
    <row r="200" spans="1:19" ht="17.100000000000001" customHeight="1">
      <c r="A200" s="6" t="s">
        <v>200</v>
      </c>
      <c r="B200" s="7">
        <f t="shared" si="3"/>
        <v>42.4</v>
      </c>
      <c r="C200" s="7">
        <v>0</v>
      </c>
      <c r="D200" s="7">
        <f>SUM(42.4)</f>
        <v>42.4</v>
      </c>
    </row>
    <row r="201" spans="1:19" ht="17.100000000000001" customHeight="1">
      <c r="A201" s="6" t="s">
        <v>201</v>
      </c>
      <c r="B201" s="7">
        <f t="shared" si="3"/>
        <v>42.4</v>
      </c>
      <c r="C201" s="7">
        <v>0</v>
      </c>
      <c r="D201" s="7">
        <f>SUM(42.4)</f>
        <v>42.4</v>
      </c>
    </row>
    <row r="202" spans="1:19" ht="17.100000000000001" customHeight="1">
      <c r="A202" s="6" t="s">
        <v>202</v>
      </c>
      <c r="B202" s="7">
        <f t="shared" si="3"/>
        <v>42</v>
      </c>
      <c r="C202" s="7">
        <v>0</v>
      </c>
      <c r="D202" s="7">
        <v>0</v>
      </c>
      <c r="E202" s="8"/>
      <c r="F202" s="8"/>
      <c r="G202" s="8"/>
      <c r="H202" s="8">
        <v>42</v>
      </c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</row>
    <row r="203" spans="1:19" ht="17.100000000000001" customHeight="1">
      <c r="A203" s="6" t="s">
        <v>203</v>
      </c>
      <c r="B203" s="7">
        <f t="shared" si="3"/>
        <v>42</v>
      </c>
      <c r="C203" s="7">
        <v>0</v>
      </c>
      <c r="D203" s="7">
        <v>0</v>
      </c>
      <c r="E203" s="8"/>
      <c r="F203" s="8"/>
      <c r="G203" s="8"/>
      <c r="H203" s="8">
        <v>42</v>
      </c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</row>
    <row r="204" spans="1:19" ht="17.100000000000001" customHeight="1">
      <c r="A204" s="6" t="s">
        <v>204</v>
      </c>
      <c r="B204" s="7">
        <f t="shared" si="3"/>
        <v>42</v>
      </c>
      <c r="C204" s="7">
        <v>0</v>
      </c>
      <c r="D204" s="7">
        <v>0</v>
      </c>
      <c r="E204" s="8"/>
      <c r="F204" s="8"/>
      <c r="G204" s="8"/>
      <c r="H204" s="8"/>
      <c r="I204" s="8">
        <v>42</v>
      </c>
      <c r="J204" s="8"/>
      <c r="K204" s="8"/>
      <c r="L204" s="8"/>
      <c r="M204" s="8"/>
      <c r="N204" s="8"/>
      <c r="O204" s="8"/>
      <c r="P204" s="8"/>
      <c r="Q204" s="8"/>
      <c r="R204" s="8"/>
      <c r="S204" s="8"/>
    </row>
    <row r="205" spans="1:19" ht="17.100000000000001" customHeight="1">
      <c r="A205" s="6" t="s">
        <v>205</v>
      </c>
      <c r="B205" s="7">
        <f t="shared" si="3"/>
        <v>42</v>
      </c>
      <c r="C205" s="7">
        <v>0</v>
      </c>
      <c r="D205" s="7">
        <v>0</v>
      </c>
      <c r="E205" s="8"/>
      <c r="F205" s="8"/>
      <c r="G205" s="8"/>
      <c r="H205" s="8"/>
      <c r="I205" s="8">
        <v>42</v>
      </c>
      <c r="J205" s="8"/>
      <c r="K205" s="8"/>
      <c r="L205" s="8"/>
      <c r="M205" s="8"/>
      <c r="N205" s="8"/>
      <c r="O205" s="8"/>
      <c r="P205" s="8"/>
      <c r="Q205" s="8"/>
      <c r="R205" s="8"/>
      <c r="S205" s="8"/>
    </row>
    <row r="206" spans="1:19" ht="17.100000000000001" customHeight="1">
      <c r="A206" s="6" t="s">
        <v>206</v>
      </c>
      <c r="B206" s="7">
        <f t="shared" si="3"/>
        <v>42</v>
      </c>
      <c r="C206" s="7">
        <v>0</v>
      </c>
      <c r="D206" s="7">
        <v>0</v>
      </c>
      <c r="E206" s="8"/>
      <c r="F206" s="8"/>
      <c r="G206" s="8"/>
      <c r="H206" s="8"/>
      <c r="I206" s="8">
        <v>42</v>
      </c>
      <c r="J206" s="8"/>
      <c r="K206" s="8"/>
      <c r="L206" s="8"/>
      <c r="M206" s="8"/>
      <c r="N206" s="8"/>
      <c r="O206" s="8"/>
      <c r="P206" s="8"/>
      <c r="Q206" s="8"/>
      <c r="R206" s="8"/>
      <c r="S206" s="8"/>
    </row>
    <row r="207" spans="1:19" ht="17.100000000000001" customHeight="1">
      <c r="A207" s="6" t="s">
        <v>207</v>
      </c>
      <c r="B207" s="7">
        <f t="shared" si="3"/>
        <v>42</v>
      </c>
      <c r="C207" s="7">
        <v>0</v>
      </c>
      <c r="D207" s="7">
        <v>0</v>
      </c>
      <c r="E207" s="8"/>
      <c r="F207" s="8"/>
      <c r="G207" s="8"/>
      <c r="H207" s="8"/>
      <c r="I207" s="8">
        <v>42</v>
      </c>
      <c r="J207" s="8"/>
      <c r="K207" s="8"/>
      <c r="L207" s="8"/>
      <c r="M207" s="8"/>
      <c r="N207" s="8"/>
      <c r="O207" s="8"/>
      <c r="P207" s="8"/>
      <c r="Q207" s="8"/>
      <c r="R207" s="8"/>
      <c r="S207" s="8"/>
    </row>
    <row r="208" spans="1:19" ht="17.100000000000001" customHeight="1">
      <c r="A208" s="10" t="s">
        <v>208</v>
      </c>
      <c r="B208" s="7">
        <f t="shared" si="3"/>
        <v>42</v>
      </c>
      <c r="C208" s="7">
        <v>0</v>
      </c>
      <c r="D208" s="7">
        <v>0</v>
      </c>
      <c r="E208" s="8">
        <f>SUM(42)</f>
        <v>42</v>
      </c>
      <c r="F208" s="9"/>
    </row>
    <row r="209" spans="1:19" s="9" customFormat="1" ht="17.100000000000001" customHeight="1">
      <c r="A209" s="10" t="s">
        <v>209</v>
      </c>
      <c r="B209" s="7">
        <f t="shared" si="3"/>
        <v>42</v>
      </c>
      <c r="C209" s="7">
        <v>0</v>
      </c>
      <c r="D209" s="7">
        <v>0</v>
      </c>
      <c r="E209" s="8">
        <f>SUM(42)</f>
        <v>42</v>
      </c>
    </row>
    <row r="210" spans="1:19" s="9" customFormat="1" ht="17.100000000000001" customHeight="1">
      <c r="A210" s="6" t="s">
        <v>210</v>
      </c>
      <c r="B210" s="7">
        <f t="shared" si="3"/>
        <v>41</v>
      </c>
      <c r="C210" s="7">
        <v>0</v>
      </c>
      <c r="D210" s="7">
        <v>0</v>
      </c>
      <c r="E210" s="8"/>
      <c r="F210" s="8"/>
      <c r="G210" s="8">
        <v>41</v>
      </c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</row>
    <row r="211" spans="1:19" s="9" customFormat="1" ht="17.100000000000001" customHeight="1">
      <c r="A211" s="6" t="s">
        <v>211</v>
      </c>
      <c r="B211" s="7">
        <f t="shared" si="3"/>
        <v>40</v>
      </c>
      <c r="C211" s="7">
        <v>0</v>
      </c>
      <c r="D211" s="7">
        <v>0</v>
      </c>
      <c r="E211" s="8"/>
      <c r="F211" s="8"/>
      <c r="G211" s="8"/>
      <c r="H211" s="8"/>
      <c r="I211" s="8">
        <v>40</v>
      </c>
      <c r="J211" s="8"/>
      <c r="K211" s="8"/>
      <c r="L211" s="8"/>
      <c r="M211" s="8"/>
      <c r="N211" s="8"/>
      <c r="O211" s="8"/>
      <c r="P211" s="8"/>
      <c r="Q211" s="8"/>
      <c r="R211" s="8"/>
      <c r="S211" s="8"/>
    </row>
    <row r="212" spans="1:19" s="9" customFormat="1" ht="17.100000000000001" customHeight="1">
      <c r="A212" s="6" t="s">
        <v>212</v>
      </c>
      <c r="B212" s="7">
        <f t="shared" si="3"/>
        <v>40</v>
      </c>
      <c r="C212" s="7">
        <v>0</v>
      </c>
      <c r="D212" s="7">
        <v>0</v>
      </c>
      <c r="E212" s="8"/>
      <c r="F212" s="8"/>
      <c r="G212" s="8"/>
      <c r="H212" s="8"/>
      <c r="I212" s="8">
        <v>40</v>
      </c>
      <c r="J212" s="8"/>
      <c r="K212" s="8"/>
      <c r="L212" s="8"/>
      <c r="M212" s="8"/>
      <c r="N212" s="8"/>
      <c r="O212" s="8"/>
      <c r="P212" s="8"/>
      <c r="Q212" s="8"/>
      <c r="R212" s="8"/>
      <c r="S212" s="8"/>
    </row>
    <row r="213" spans="1:19" s="9" customFormat="1" ht="17.100000000000001" customHeight="1">
      <c r="A213" s="6" t="s">
        <v>213</v>
      </c>
      <c r="B213" s="7">
        <f t="shared" si="3"/>
        <v>40</v>
      </c>
      <c r="C213" s="7">
        <v>0</v>
      </c>
      <c r="D213" s="7">
        <v>0</v>
      </c>
      <c r="E213" s="8"/>
      <c r="F213" s="8"/>
      <c r="G213" s="8"/>
      <c r="H213" s="8"/>
      <c r="I213" s="8"/>
      <c r="J213" s="8">
        <v>40</v>
      </c>
      <c r="K213" s="8"/>
      <c r="L213" s="8"/>
      <c r="M213" s="8"/>
      <c r="N213" s="8"/>
      <c r="O213" s="8"/>
      <c r="P213" s="8"/>
      <c r="Q213" s="8"/>
      <c r="R213" s="8"/>
      <c r="S213" s="8"/>
    </row>
    <row r="214" spans="1:19" ht="17.100000000000001" customHeight="1">
      <c r="A214" s="6" t="s">
        <v>214</v>
      </c>
      <c r="B214" s="7">
        <f t="shared" si="3"/>
        <v>40</v>
      </c>
      <c r="C214" s="7">
        <v>0</v>
      </c>
      <c r="D214" s="7">
        <v>0</v>
      </c>
      <c r="E214" s="8"/>
      <c r="F214" s="8"/>
      <c r="G214" s="8"/>
      <c r="H214" s="8"/>
      <c r="I214" s="8"/>
      <c r="J214" s="8"/>
      <c r="K214" s="8"/>
      <c r="L214" s="8"/>
      <c r="M214" s="8">
        <v>40</v>
      </c>
      <c r="N214" s="8"/>
      <c r="O214" s="8"/>
      <c r="P214" s="8"/>
      <c r="Q214" s="8"/>
      <c r="R214" s="8"/>
      <c r="S214" s="8"/>
    </row>
    <row r="215" spans="1:19" ht="17.100000000000001" customHeight="1">
      <c r="A215" s="6" t="s">
        <v>215</v>
      </c>
      <c r="B215" s="7">
        <f t="shared" si="3"/>
        <v>40</v>
      </c>
      <c r="C215" s="7">
        <v>0</v>
      </c>
      <c r="D215" s="7">
        <v>0</v>
      </c>
      <c r="E215" s="8"/>
      <c r="F215" s="8"/>
      <c r="G215" s="8"/>
      <c r="H215" s="8"/>
      <c r="I215" s="8"/>
      <c r="J215" s="8"/>
      <c r="K215" s="8"/>
      <c r="L215" s="8"/>
      <c r="M215" s="8">
        <v>40</v>
      </c>
      <c r="N215" s="8"/>
      <c r="O215" s="8"/>
      <c r="P215" s="8"/>
      <c r="Q215" s="8"/>
      <c r="R215" s="8"/>
      <c r="S215" s="8"/>
    </row>
    <row r="216" spans="1:19" s="9" customFormat="1" ht="17.100000000000001" customHeight="1">
      <c r="A216" s="6" t="s">
        <v>216</v>
      </c>
      <c r="B216" s="7">
        <f t="shared" si="3"/>
        <v>39</v>
      </c>
      <c r="C216" s="7">
        <v>0</v>
      </c>
      <c r="D216" s="7">
        <v>0</v>
      </c>
      <c r="E216" s="8"/>
      <c r="F216" s="8"/>
      <c r="G216" s="8"/>
      <c r="H216" s="8"/>
      <c r="I216" s="8"/>
      <c r="J216" s="8"/>
      <c r="K216" s="8">
        <v>39</v>
      </c>
      <c r="L216" s="8"/>
      <c r="M216" s="8"/>
      <c r="N216" s="8"/>
      <c r="O216" s="8"/>
      <c r="P216" s="8"/>
      <c r="Q216" s="8"/>
      <c r="R216" s="8"/>
      <c r="S216" s="8"/>
    </row>
    <row r="217" spans="1:19" s="9" customFormat="1" ht="17.100000000000001" customHeight="1">
      <c r="A217" s="6" t="s">
        <v>217</v>
      </c>
      <c r="B217" s="7">
        <f t="shared" si="3"/>
        <v>39</v>
      </c>
      <c r="C217" s="7">
        <v>0</v>
      </c>
      <c r="D217" s="7">
        <v>0</v>
      </c>
      <c r="E217" s="8"/>
      <c r="F217" s="8"/>
      <c r="G217" s="8"/>
      <c r="H217" s="8"/>
      <c r="I217" s="8"/>
      <c r="J217" s="8"/>
      <c r="K217" s="8">
        <v>39</v>
      </c>
      <c r="L217" s="8"/>
      <c r="M217" s="8"/>
      <c r="N217" s="8"/>
      <c r="O217" s="8"/>
      <c r="P217" s="8"/>
      <c r="Q217" s="8"/>
      <c r="R217" s="8"/>
      <c r="S217" s="8"/>
    </row>
    <row r="218" spans="1:19" ht="17.100000000000001" customHeight="1">
      <c r="A218" s="6" t="s">
        <v>218</v>
      </c>
      <c r="B218" s="7">
        <f t="shared" si="3"/>
        <v>39</v>
      </c>
      <c r="C218" s="7">
        <v>0</v>
      </c>
      <c r="D218" s="7">
        <v>0</v>
      </c>
      <c r="E218" s="8"/>
      <c r="F218" s="8"/>
      <c r="G218" s="8"/>
      <c r="H218" s="8"/>
      <c r="I218" s="8"/>
      <c r="J218" s="8"/>
      <c r="K218" s="8"/>
      <c r="L218" s="8">
        <v>39</v>
      </c>
      <c r="M218" s="8"/>
      <c r="N218" s="8"/>
      <c r="O218" s="8"/>
      <c r="P218" s="8"/>
      <c r="Q218" s="8"/>
      <c r="R218" s="8"/>
      <c r="S218" s="8"/>
    </row>
    <row r="219" spans="1:19" ht="17.100000000000001" customHeight="1">
      <c r="A219" s="6" t="s">
        <v>219</v>
      </c>
      <c r="B219" s="7">
        <f t="shared" si="3"/>
        <v>39</v>
      </c>
      <c r="C219" s="7">
        <v>0</v>
      </c>
      <c r="D219" s="7">
        <v>0</v>
      </c>
      <c r="E219" s="8"/>
      <c r="F219" s="8">
        <f>SUM(39)</f>
        <v>39</v>
      </c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</row>
    <row r="220" spans="1:19" ht="17.100000000000001" customHeight="1">
      <c r="A220" s="10" t="s">
        <v>220</v>
      </c>
      <c r="B220" s="7">
        <f t="shared" si="3"/>
        <v>39</v>
      </c>
      <c r="C220" s="7">
        <v>0</v>
      </c>
      <c r="D220" s="7">
        <v>0</v>
      </c>
      <c r="E220" s="8"/>
      <c r="F220" s="8">
        <f>SUM(39)</f>
        <v>39</v>
      </c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</row>
    <row r="221" spans="1:19" ht="17.100000000000001" customHeight="1">
      <c r="A221" s="6" t="s">
        <v>221</v>
      </c>
      <c r="B221" s="7">
        <f t="shared" si="3"/>
        <v>39</v>
      </c>
      <c r="C221" s="7">
        <v>0</v>
      </c>
      <c r="D221" s="7">
        <v>0</v>
      </c>
      <c r="E221" s="8"/>
      <c r="F221" s="8">
        <f>SUM(39)</f>
        <v>39</v>
      </c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</row>
    <row r="222" spans="1:19" s="9" customFormat="1" ht="17.100000000000001" customHeight="1">
      <c r="A222" s="6" t="s">
        <v>222</v>
      </c>
      <c r="B222" s="7">
        <f t="shared" si="3"/>
        <v>37</v>
      </c>
      <c r="C222" s="7">
        <v>0</v>
      </c>
      <c r="D222" s="7">
        <v>0</v>
      </c>
      <c r="E222" s="8"/>
      <c r="F222" s="8"/>
      <c r="G222" s="8"/>
      <c r="H222" s="8"/>
      <c r="I222" s="8"/>
      <c r="J222" s="8"/>
      <c r="K222" s="8">
        <v>37</v>
      </c>
      <c r="L222" s="8"/>
      <c r="M222" s="8"/>
      <c r="N222" s="8"/>
      <c r="O222" s="8"/>
      <c r="P222" s="8"/>
      <c r="Q222" s="8"/>
      <c r="R222" s="8"/>
      <c r="S222" s="8"/>
    </row>
    <row r="223" spans="1:19" s="9" customFormat="1" ht="17.100000000000001" customHeight="1">
      <c r="A223" s="14" t="s">
        <v>223</v>
      </c>
      <c r="B223" s="7">
        <f t="shared" si="3"/>
        <v>34.6</v>
      </c>
      <c r="C223" s="7">
        <v>0</v>
      </c>
      <c r="D223" s="7">
        <v>0</v>
      </c>
      <c r="E223" s="9">
        <f>SUM(34.6)</f>
        <v>34.6</v>
      </c>
    </row>
    <row r="224" spans="1:19" s="9" customFormat="1" ht="17.100000000000001" customHeight="1">
      <c r="A224" s="6" t="s">
        <v>224</v>
      </c>
      <c r="B224" s="7">
        <f t="shared" si="3"/>
        <v>34</v>
      </c>
      <c r="C224" s="7">
        <v>0</v>
      </c>
      <c r="D224" s="7">
        <f>SUM(34)</f>
        <v>34</v>
      </c>
      <c r="F224" s="12"/>
    </row>
    <row r="225" spans="1:19" s="9" customFormat="1" ht="17.100000000000001" customHeight="1">
      <c r="A225" s="6" t="s">
        <v>225</v>
      </c>
      <c r="B225" s="7">
        <f t="shared" si="3"/>
        <v>34</v>
      </c>
      <c r="C225" s="7">
        <v>0</v>
      </c>
      <c r="D225" s="7">
        <v>0</v>
      </c>
      <c r="E225" s="8"/>
      <c r="F225" s="8">
        <f>SUM(34)</f>
        <v>34</v>
      </c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</row>
    <row r="226" spans="1:19" s="9" customFormat="1" ht="17.100000000000001" customHeight="1">
      <c r="A226" s="6" t="s">
        <v>226</v>
      </c>
      <c r="B226" s="7">
        <f t="shared" si="3"/>
        <v>34</v>
      </c>
      <c r="C226" s="7">
        <v>0</v>
      </c>
      <c r="D226" s="7">
        <v>0</v>
      </c>
      <c r="E226" s="8"/>
      <c r="F226" s="8">
        <f>SUM(34)</f>
        <v>34</v>
      </c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</row>
    <row r="227" spans="1:19" s="9" customFormat="1" ht="17.100000000000001" customHeight="1">
      <c r="A227" s="6" t="s">
        <v>227</v>
      </c>
      <c r="B227" s="7">
        <f t="shared" si="3"/>
        <v>34</v>
      </c>
      <c r="C227" s="7">
        <v>0</v>
      </c>
      <c r="D227" s="7">
        <v>0</v>
      </c>
      <c r="E227" s="8"/>
      <c r="F227" s="8"/>
      <c r="G227" s="8"/>
      <c r="H227" s="8"/>
      <c r="I227" s="8"/>
      <c r="J227" s="8">
        <v>34</v>
      </c>
      <c r="K227" s="8"/>
      <c r="L227" s="8"/>
      <c r="M227" s="8"/>
      <c r="N227" s="8"/>
      <c r="O227" s="8"/>
      <c r="P227" s="8"/>
      <c r="Q227" s="8"/>
      <c r="R227" s="8"/>
      <c r="S227" s="8"/>
    </row>
    <row r="228" spans="1:19" s="9" customFormat="1" ht="17.100000000000001" customHeight="1">
      <c r="A228" s="6" t="s">
        <v>228</v>
      </c>
      <c r="B228" s="7">
        <f t="shared" si="3"/>
        <v>34</v>
      </c>
      <c r="C228" s="7">
        <v>0</v>
      </c>
      <c r="D228" s="7">
        <v>0</v>
      </c>
      <c r="E228" s="8"/>
      <c r="F228" s="8"/>
      <c r="G228" s="8"/>
      <c r="H228" s="8"/>
      <c r="I228" s="8"/>
      <c r="J228" s="8"/>
      <c r="K228" s="8"/>
      <c r="L228" s="8"/>
      <c r="M228" s="8">
        <v>34</v>
      </c>
      <c r="N228" s="8"/>
      <c r="O228" s="8"/>
      <c r="P228" s="8"/>
      <c r="Q228" s="8"/>
      <c r="R228" s="8"/>
      <c r="S228" s="8"/>
    </row>
    <row r="229" spans="1:19" ht="17.100000000000001" customHeight="1">
      <c r="A229" s="10" t="s">
        <v>229</v>
      </c>
      <c r="B229" s="7">
        <f t="shared" si="3"/>
        <v>34</v>
      </c>
      <c r="C229" s="7">
        <v>0</v>
      </c>
      <c r="D229" s="7">
        <v>0</v>
      </c>
      <c r="E229" s="8"/>
      <c r="F229" s="8">
        <f>SUM(34)</f>
        <v>34</v>
      </c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</row>
    <row r="230" spans="1:19" ht="17.100000000000001" customHeight="1">
      <c r="A230" s="6" t="s">
        <v>230</v>
      </c>
      <c r="B230" s="7">
        <f t="shared" si="3"/>
        <v>34</v>
      </c>
      <c r="C230" s="7">
        <v>0</v>
      </c>
      <c r="D230" s="7">
        <v>0</v>
      </c>
      <c r="E230" s="8"/>
      <c r="F230" s="8">
        <f>SUM(34)</f>
        <v>34</v>
      </c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</row>
    <row r="231" spans="1:19" ht="17.100000000000001" customHeight="1">
      <c r="A231" s="10" t="s">
        <v>231</v>
      </c>
      <c r="B231" s="7">
        <f t="shared" si="3"/>
        <v>34</v>
      </c>
      <c r="C231" s="7">
        <v>0</v>
      </c>
      <c r="D231" s="7">
        <v>0</v>
      </c>
      <c r="E231" s="8"/>
      <c r="F231" s="8">
        <f>SUM(34)</f>
        <v>34</v>
      </c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</row>
    <row r="232" spans="1:19" ht="17.100000000000001" customHeight="1">
      <c r="A232" s="6" t="s">
        <v>232</v>
      </c>
      <c r="B232" s="7">
        <f t="shared" si="3"/>
        <v>34</v>
      </c>
      <c r="C232" s="7">
        <v>0</v>
      </c>
      <c r="D232" s="7">
        <v>0</v>
      </c>
      <c r="E232" s="8"/>
      <c r="F232" s="8">
        <f>SUM(34)</f>
        <v>34</v>
      </c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</row>
    <row r="233" spans="1:19" ht="17.100000000000001" customHeight="1">
      <c r="A233" s="10" t="s">
        <v>233</v>
      </c>
      <c r="B233" s="7">
        <f t="shared" si="3"/>
        <v>34</v>
      </c>
      <c r="C233" s="7">
        <v>0</v>
      </c>
      <c r="D233" s="7">
        <v>0</v>
      </c>
      <c r="E233" s="8"/>
      <c r="F233" s="8">
        <f>SUM(34)</f>
        <v>34</v>
      </c>
    </row>
    <row r="234" spans="1:19" ht="17.100000000000001" customHeight="1">
      <c r="A234" s="10" t="s">
        <v>234</v>
      </c>
      <c r="B234" s="7">
        <f t="shared" si="3"/>
        <v>34</v>
      </c>
      <c r="C234" s="7">
        <v>0</v>
      </c>
      <c r="D234" s="7">
        <v>0</v>
      </c>
      <c r="E234" s="9">
        <f>SUM(34)</f>
        <v>34</v>
      </c>
      <c r="F234" s="9"/>
    </row>
    <row r="235" spans="1:19" ht="17.100000000000001" customHeight="1">
      <c r="A235" s="10" t="s">
        <v>235</v>
      </c>
      <c r="B235" s="7">
        <f t="shared" si="3"/>
        <v>34</v>
      </c>
      <c r="C235" s="7">
        <v>0</v>
      </c>
      <c r="D235" s="7">
        <v>0</v>
      </c>
      <c r="E235" s="9">
        <f>SUM(34)</f>
        <v>34</v>
      </c>
      <c r="F235" s="9"/>
    </row>
    <row r="236" spans="1:19" ht="17.100000000000001" customHeight="1">
      <c r="A236" s="10" t="s">
        <v>236</v>
      </c>
      <c r="B236" s="7">
        <f t="shared" si="3"/>
        <v>34</v>
      </c>
      <c r="C236" s="7">
        <v>0</v>
      </c>
      <c r="D236" s="7">
        <v>0</v>
      </c>
      <c r="E236" s="9">
        <f>SUM(34)</f>
        <v>34</v>
      </c>
      <c r="F236" s="9"/>
    </row>
    <row r="237" spans="1:19" ht="17.100000000000001" customHeight="1">
      <c r="A237" s="10" t="s">
        <v>237</v>
      </c>
      <c r="B237" s="7">
        <f t="shared" si="3"/>
        <v>34</v>
      </c>
      <c r="C237" s="7">
        <v>0</v>
      </c>
      <c r="D237" s="7">
        <v>0</v>
      </c>
      <c r="E237" s="9">
        <f>SUM(34)</f>
        <v>34</v>
      </c>
      <c r="F237" s="9"/>
    </row>
    <row r="238" spans="1:19" s="9" customFormat="1" ht="17.100000000000001" customHeight="1">
      <c r="A238" s="10" t="s">
        <v>238</v>
      </c>
      <c r="B238" s="7">
        <f t="shared" si="3"/>
        <v>34</v>
      </c>
      <c r="C238" s="7">
        <v>0</v>
      </c>
      <c r="D238" s="7">
        <v>0</v>
      </c>
      <c r="E238" s="9">
        <f>SUM(34)</f>
        <v>34</v>
      </c>
    </row>
    <row r="239" spans="1:19" s="9" customFormat="1" ht="17.100000000000001" customHeight="1">
      <c r="A239" s="6" t="s">
        <v>239</v>
      </c>
      <c r="B239" s="7">
        <f t="shared" si="3"/>
        <v>34</v>
      </c>
      <c r="C239" s="7">
        <v>0</v>
      </c>
      <c r="D239" s="7">
        <f>SUM(34)</f>
        <v>34</v>
      </c>
      <c r="F239" s="12"/>
    </row>
    <row r="240" spans="1:19" s="9" customFormat="1" ht="17.100000000000001" customHeight="1">
      <c r="A240" s="6" t="s">
        <v>240</v>
      </c>
      <c r="B240" s="7">
        <f t="shared" si="3"/>
        <v>33.6</v>
      </c>
      <c r="C240" s="7">
        <v>0</v>
      </c>
      <c r="D240" s="7">
        <f>SUM(33.6)</f>
        <v>33.6</v>
      </c>
      <c r="F240" s="12"/>
    </row>
    <row r="241" spans="1:19" s="9" customFormat="1" ht="17.100000000000001" customHeight="1">
      <c r="A241" s="15" t="s">
        <v>241</v>
      </c>
      <c r="B241" s="7">
        <f t="shared" si="3"/>
        <v>33</v>
      </c>
      <c r="C241" s="7">
        <v>0</v>
      </c>
      <c r="D241" s="7">
        <v>0</v>
      </c>
      <c r="E241" s="8"/>
      <c r="F241" s="8"/>
      <c r="G241" s="8"/>
      <c r="H241" s="8"/>
      <c r="I241" s="8"/>
      <c r="J241" s="8">
        <v>33</v>
      </c>
      <c r="K241" s="8"/>
      <c r="L241" s="8"/>
      <c r="M241" s="8"/>
      <c r="N241" s="8"/>
      <c r="O241" s="8"/>
      <c r="P241" s="8"/>
      <c r="Q241" s="8"/>
      <c r="R241" s="8"/>
      <c r="S241" s="8"/>
    </row>
    <row r="242" spans="1:19" s="9" customFormat="1" ht="17.100000000000001" customHeight="1">
      <c r="A242" s="10" t="s">
        <v>242</v>
      </c>
      <c r="B242" s="7">
        <f t="shared" si="3"/>
        <v>33</v>
      </c>
      <c r="C242" s="7">
        <v>0</v>
      </c>
      <c r="D242" s="7">
        <v>0</v>
      </c>
      <c r="E242" s="8"/>
      <c r="F242" s="8"/>
      <c r="G242" s="8"/>
      <c r="H242" s="8"/>
      <c r="I242" s="8"/>
      <c r="J242" s="8">
        <v>33</v>
      </c>
      <c r="K242" s="8"/>
      <c r="L242" s="8"/>
      <c r="M242" s="8"/>
      <c r="N242" s="8"/>
      <c r="O242" s="8"/>
      <c r="P242" s="8"/>
      <c r="Q242" s="8"/>
      <c r="R242" s="8"/>
      <c r="S242" s="8"/>
    </row>
    <row r="243" spans="1:19" s="9" customFormat="1" ht="17.100000000000001" customHeight="1">
      <c r="A243" s="10" t="s">
        <v>243</v>
      </c>
      <c r="B243" s="7">
        <f t="shared" si="3"/>
        <v>33</v>
      </c>
      <c r="C243" s="7">
        <v>0</v>
      </c>
      <c r="D243" s="7">
        <v>0</v>
      </c>
      <c r="E243" s="9">
        <f>SUM(33)</f>
        <v>33</v>
      </c>
    </row>
    <row r="244" spans="1:19" s="9" customFormat="1" ht="17.100000000000001" customHeight="1">
      <c r="A244" s="11" t="s">
        <v>244</v>
      </c>
      <c r="B244" s="7">
        <f t="shared" si="3"/>
        <v>83</v>
      </c>
      <c r="C244" s="7">
        <f>SUM(50)</f>
        <v>50</v>
      </c>
      <c r="D244" s="7">
        <v>0</v>
      </c>
      <c r="E244" s="9">
        <f>SUM(33)</f>
        <v>33</v>
      </c>
    </row>
    <row r="245" spans="1:19" s="9" customFormat="1" ht="17.100000000000001" customHeight="1">
      <c r="A245" s="6" t="s">
        <v>245</v>
      </c>
      <c r="B245" s="7">
        <f t="shared" si="3"/>
        <v>32.799999999999997</v>
      </c>
      <c r="C245" s="7">
        <v>0</v>
      </c>
      <c r="D245" s="7">
        <f>SUM(32.8)</f>
        <v>32.799999999999997</v>
      </c>
      <c r="F245" s="12"/>
    </row>
    <row r="246" spans="1:19" ht="17.100000000000001" customHeight="1">
      <c r="A246" s="6" t="s">
        <v>246</v>
      </c>
      <c r="B246" s="7">
        <f t="shared" si="3"/>
        <v>32.799999999999997</v>
      </c>
      <c r="C246" s="7">
        <v>0</v>
      </c>
      <c r="D246" s="7">
        <f>SUM(32.8)</f>
        <v>32.799999999999997</v>
      </c>
    </row>
    <row r="247" spans="1:19" ht="17.100000000000001" customHeight="1">
      <c r="A247" s="6" t="s">
        <v>247</v>
      </c>
      <c r="B247" s="7">
        <f t="shared" si="3"/>
        <v>32</v>
      </c>
      <c r="C247" s="7">
        <v>0</v>
      </c>
      <c r="D247" s="7">
        <f t="shared" ref="D247:D256" si="4">SUM(32)</f>
        <v>32</v>
      </c>
    </row>
    <row r="248" spans="1:19" ht="17.100000000000001" customHeight="1">
      <c r="A248" s="6" t="s">
        <v>248</v>
      </c>
      <c r="B248" s="7">
        <f t="shared" si="3"/>
        <v>32</v>
      </c>
      <c r="C248" s="7">
        <v>0</v>
      </c>
      <c r="D248" s="7">
        <f t="shared" si="4"/>
        <v>32</v>
      </c>
    </row>
    <row r="249" spans="1:19" ht="17.100000000000001" customHeight="1">
      <c r="A249" s="6" t="s">
        <v>249</v>
      </c>
      <c r="B249" s="7">
        <f t="shared" si="3"/>
        <v>32</v>
      </c>
      <c r="C249" s="7">
        <v>0</v>
      </c>
      <c r="D249" s="7">
        <f t="shared" si="4"/>
        <v>32</v>
      </c>
    </row>
    <row r="250" spans="1:19" ht="17.100000000000001" customHeight="1">
      <c r="A250" s="6" t="s">
        <v>250</v>
      </c>
      <c r="B250" s="7">
        <f t="shared" si="3"/>
        <v>32</v>
      </c>
      <c r="C250" s="7">
        <v>0</v>
      </c>
      <c r="D250" s="7">
        <f t="shared" si="4"/>
        <v>32</v>
      </c>
    </row>
    <row r="251" spans="1:19" ht="17.100000000000001" customHeight="1">
      <c r="A251" s="6" t="s">
        <v>251</v>
      </c>
      <c r="B251" s="7">
        <f t="shared" si="3"/>
        <v>32</v>
      </c>
      <c r="C251" s="7">
        <v>0</v>
      </c>
      <c r="D251" s="7">
        <f t="shared" si="4"/>
        <v>32</v>
      </c>
    </row>
    <row r="252" spans="1:19" ht="17.100000000000001" customHeight="1">
      <c r="A252" s="6" t="s">
        <v>252</v>
      </c>
      <c r="B252" s="7">
        <f t="shared" si="3"/>
        <v>32</v>
      </c>
      <c r="C252" s="7">
        <v>0</v>
      </c>
      <c r="D252" s="7">
        <f t="shared" si="4"/>
        <v>32</v>
      </c>
    </row>
    <row r="253" spans="1:19" ht="17.100000000000001" customHeight="1">
      <c r="A253" s="6" t="s">
        <v>253</v>
      </c>
      <c r="B253" s="7">
        <f t="shared" si="3"/>
        <v>32</v>
      </c>
      <c r="C253" s="7">
        <v>0</v>
      </c>
      <c r="D253" s="7">
        <f t="shared" si="4"/>
        <v>32</v>
      </c>
    </row>
    <row r="254" spans="1:19" ht="17.100000000000001" customHeight="1">
      <c r="A254" s="6" t="s">
        <v>254</v>
      </c>
      <c r="B254" s="7">
        <f t="shared" si="3"/>
        <v>32</v>
      </c>
      <c r="C254" s="7">
        <v>0</v>
      </c>
      <c r="D254" s="7">
        <f t="shared" si="4"/>
        <v>32</v>
      </c>
    </row>
    <row r="255" spans="1:19" ht="17.100000000000001" customHeight="1">
      <c r="A255" s="6" t="s">
        <v>255</v>
      </c>
      <c r="B255" s="7">
        <f t="shared" si="3"/>
        <v>116</v>
      </c>
      <c r="C255" s="7">
        <f>SUM(34+50)</f>
        <v>84</v>
      </c>
      <c r="D255" s="7">
        <f t="shared" si="4"/>
        <v>32</v>
      </c>
    </row>
    <row r="256" spans="1:19" ht="17.100000000000001" customHeight="1">
      <c r="A256" s="6" t="s">
        <v>256</v>
      </c>
      <c r="B256" s="7">
        <f t="shared" si="3"/>
        <v>32</v>
      </c>
      <c r="C256" s="7">
        <v>0</v>
      </c>
      <c r="D256" s="7">
        <f t="shared" si="4"/>
        <v>32</v>
      </c>
    </row>
    <row r="257" spans="1:19" ht="17.100000000000001" customHeight="1">
      <c r="A257" s="10" t="s">
        <v>257</v>
      </c>
      <c r="B257" s="7">
        <f t="shared" si="3"/>
        <v>32</v>
      </c>
      <c r="C257" s="7">
        <v>0</v>
      </c>
      <c r="D257" s="7">
        <v>0</v>
      </c>
      <c r="E257" s="8"/>
      <c r="F257" s="8"/>
      <c r="G257" s="8"/>
      <c r="H257" s="8"/>
      <c r="I257" s="8"/>
      <c r="J257" s="8"/>
      <c r="K257" s="8"/>
      <c r="L257" s="8">
        <v>32</v>
      </c>
      <c r="M257" s="8"/>
      <c r="N257" s="8"/>
      <c r="O257" s="8"/>
      <c r="P257" s="8"/>
      <c r="Q257" s="8"/>
      <c r="R257" s="8"/>
      <c r="S257" s="8"/>
    </row>
    <row r="258" spans="1:19" ht="17.100000000000001" customHeight="1">
      <c r="A258" s="10" t="s">
        <v>258</v>
      </c>
      <c r="B258" s="7">
        <f t="shared" ref="B258:B321" si="5">SUM(C258:U258)</f>
        <v>32</v>
      </c>
      <c r="C258" s="7">
        <v>0</v>
      </c>
      <c r="D258" s="7">
        <v>0</v>
      </c>
      <c r="E258" s="8"/>
      <c r="F258" s="8"/>
      <c r="G258" s="8"/>
      <c r="H258" s="8"/>
      <c r="I258" s="8"/>
      <c r="J258" s="8"/>
      <c r="K258" s="8"/>
      <c r="L258" s="8">
        <v>32</v>
      </c>
      <c r="M258" s="8"/>
      <c r="N258" s="8"/>
      <c r="O258" s="8"/>
      <c r="P258" s="8"/>
      <c r="Q258" s="8"/>
      <c r="R258" s="8"/>
      <c r="S258" s="8"/>
    </row>
    <row r="259" spans="1:19" ht="17.100000000000001" customHeight="1">
      <c r="A259" s="10" t="s">
        <v>259</v>
      </c>
      <c r="B259" s="7">
        <f t="shared" si="5"/>
        <v>32</v>
      </c>
      <c r="C259" s="7">
        <v>0</v>
      </c>
      <c r="D259" s="7">
        <v>0</v>
      </c>
      <c r="E259" s="8"/>
      <c r="F259" s="8">
        <f>SUM(32)</f>
        <v>32</v>
      </c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</row>
    <row r="260" spans="1:19" ht="17.100000000000001" customHeight="1">
      <c r="A260" s="10" t="s">
        <v>260</v>
      </c>
      <c r="B260" s="7">
        <f t="shared" si="5"/>
        <v>32</v>
      </c>
      <c r="C260" s="7">
        <v>0</v>
      </c>
      <c r="D260" s="7">
        <v>0</v>
      </c>
      <c r="E260" s="8"/>
      <c r="F260" s="8">
        <f>SUM(32)</f>
        <v>32</v>
      </c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</row>
    <row r="261" spans="1:19" ht="17.100000000000001" customHeight="1">
      <c r="A261" s="6" t="s">
        <v>261</v>
      </c>
      <c r="B261" s="7">
        <f t="shared" si="5"/>
        <v>32</v>
      </c>
      <c r="C261" s="7">
        <v>0</v>
      </c>
      <c r="D261" s="7">
        <f t="shared" ref="D261:D267" si="6">SUM(32)</f>
        <v>32</v>
      </c>
    </row>
    <row r="262" spans="1:19" ht="17.100000000000001" customHeight="1">
      <c r="A262" s="6" t="s">
        <v>262</v>
      </c>
      <c r="B262" s="7">
        <f t="shared" si="5"/>
        <v>32</v>
      </c>
      <c r="C262" s="7">
        <v>0</v>
      </c>
      <c r="D262" s="7">
        <f t="shared" si="6"/>
        <v>32</v>
      </c>
    </row>
    <row r="263" spans="1:19" ht="17.100000000000001" customHeight="1">
      <c r="A263" s="6" t="s">
        <v>263</v>
      </c>
      <c r="B263" s="7">
        <f t="shared" si="5"/>
        <v>308.2</v>
      </c>
      <c r="C263" s="7">
        <f>SUM(80+53.6+55+87.6)</f>
        <v>276.2</v>
      </c>
      <c r="D263" s="7">
        <f t="shared" si="6"/>
        <v>32</v>
      </c>
    </row>
    <row r="264" spans="1:19" ht="17.100000000000001" customHeight="1">
      <c r="A264" s="6" t="s">
        <v>264</v>
      </c>
      <c r="B264" s="7">
        <f t="shared" si="5"/>
        <v>32</v>
      </c>
      <c r="C264" s="7">
        <v>0</v>
      </c>
      <c r="D264" s="7">
        <f t="shared" si="6"/>
        <v>32</v>
      </c>
    </row>
    <row r="265" spans="1:19" ht="17.100000000000001" customHeight="1">
      <c r="A265" s="6" t="s">
        <v>265</v>
      </c>
      <c r="B265" s="7">
        <f t="shared" si="5"/>
        <v>32</v>
      </c>
      <c r="C265" s="7">
        <v>0</v>
      </c>
      <c r="D265" s="7">
        <f t="shared" si="6"/>
        <v>32</v>
      </c>
    </row>
    <row r="266" spans="1:19" ht="17.100000000000001" customHeight="1">
      <c r="A266" s="6" t="s">
        <v>266</v>
      </c>
      <c r="B266" s="7">
        <f t="shared" si="5"/>
        <v>62</v>
      </c>
      <c r="C266" s="7">
        <f>SUM(30)</f>
        <v>30</v>
      </c>
      <c r="D266" s="7">
        <f t="shared" si="6"/>
        <v>32</v>
      </c>
    </row>
    <row r="267" spans="1:19" ht="17.100000000000001" customHeight="1">
      <c r="A267" s="6" t="s">
        <v>267</v>
      </c>
      <c r="B267" s="7">
        <f t="shared" si="5"/>
        <v>62</v>
      </c>
      <c r="C267" s="7">
        <f>SUM(30)</f>
        <v>30</v>
      </c>
      <c r="D267" s="7">
        <f t="shared" si="6"/>
        <v>32</v>
      </c>
    </row>
    <row r="268" spans="1:19" ht="17.100000000000001" customHeight="1">
      <c r="A268" s="10" t="s">
        <v>268</v>
      </c>
      <c r="B268" s="7">
        <f t="shared" si="5"/>
        <v>31.6</v>
      </c>
      <c r="C268" s="7">
        <v>0</v>
      </c>
      <c r="D268" s="7">
        <v>0</v>
      </c>
      <c r="E268" s="9">
        <f>SUM(31.6)</f>
        <v>31.6</v>
      </c>
      <c r="F268" s="9"/>
    </row>
    <row r="269" spans="1:19" ht="17.100000000000001" customHeight="1">
      <c r="A269" s="6" t="s">
        <v>269</v>
      </c>
      <c r="B269" s="7">
        <f t="shared" si="5"/>
        <v>80</v>
      </c>
      <c r="C269" s="7">
        <f>SUM(49)</f>
        <v>49</v>
      </c>
      <c r="D269" s="7">
        <f>SUM(31)</f>
        <v>31</v>
      </c>
    </row>
    <row r="270" spans="1:19" ht="17.100000000000001" customHeight="1">
      <c r="A270" s="10" t="s">
        <v>270</v>
      </c>
      <c r="B270" s="7">
        <f t="shared" si="5"/>
        <v>31</v>
      </c>
      <c r="C270" s="7">
        <v>0</v>
      </c>
      <c r="D270" s="7">
        <v>0</v>
      </c>
      <c r="E270" s="9">
        <f>SUM(31)</f>
        <v>31</v>
      </c>
      <c r="F270" s="9"/>
    </row>
    <row r="271" spans="1:19" ht="17.100000000000001" customHeight="1">
      <c r="A271" s="10" t="s">
        <v>271</v>
      </c>
      <c r="B271" s="7">
        <f t="shared" si="5"/>
        <v>106</v>
      </c>
      <c r="C271" s="7">
        <f>SUM(35+40)</f>
        <v>75</v>
      </c>
      <c r="D271" s="7">
        <v>0</v>
      </c>
      <c r="E271" s="9">
        <f>SUM(31)</f>
        <v>31</v>
      </c>
      <c r="F271" s="9"/>
    </row>
    <row r="272" spans="1:19" ht="17.100000000000001" customHeight="1">
      <c r="A272" s="10" t="s">
        <v>272</v>
      </c>
      <c r="B272" s="7">
        <f t="shared" si="5"/>
        <v>31</v>
      </c>
      <c r="C272" s="7">
        <v>0</v>
      </c>
      <c r="D272" s="7">
        <v>0</v>
      </c>
      <c r="E272" s="9">
        <f>SUM(31)</f>
        <v>31</v>
      </c>
      <c r="F272" s="9"/>
    </row>
    <row r="273" spans="1:19" ht="17.100000000000001" customHeight="1">
      <c r="A273" s="6" t="s">
        <v>273</v>
      </c>
      <c r="B273" s="7">
        <f t="shared" si="5"/>
        <v>31</v>
      </c>
      <c r="C273" s="7">
        <v>0</v>
      </c>
      <c r="D273" s="7">
        <f>SUM(31)</f>
        <v>31</v>
      </c>
    </row>
    <row r="274" spans="1:19" ht="17.100000000000001" customHeight="1">
      <c r="A274" s="10" t="s">
        <v>274</v>
      </c>
      <c r="B274" s="7">
        <f t="shared" si="5"/>
        <v>30.6</v>
      </c>
      <c r="C274" s="7">
        <v>0</v>
      </c>
      <c r="D274" s="7">
        <v>0</v>
      </c>
      <c r="E274" s="8">
        <f>SUM(30.6)</f>
        <v>30.6</v>
      </c>
      <c r="F274" s="9"/>
    </row>
    <row r="275" spans="1:19" ht="17.100000000000001" customHeight="1">
      <c r="A275" s="11" t="s">
        <v>275</v>
      </c>
      <c r="B275" s="7">
        <f t="shared" si="5"/>
        <v>85</v>
      </c>
      <c r="C275" s="7">
        <f>SUM(55)</f>
        <v>55</v>
      </c>
      <c r="D275" s="7">
        <f>SUM(30)</f>
        <v>30</v>
      </c>
      <c r="F275" s="9"/>
    </row>
    <row r="276" spans="1:19" ht="17.100000000000001" customHeight="1">
      <c r="A276" s="10" t="s">
        <v>276</v>
      </c>
      <c r="B276" s="7">
        <f t="shared" si="5"/>
        <v>30</v>
      </c>
      <c r="C276" s="7">
        <v>0</v>
      </c>
      <c r="D276" s="7">
        <v>0</v>
      </c>
      <c r="E276" s="8"/>
      <c r="F276" s="8">
        <f t="shared" ref="F276:F281" si="7">SUM(30)</f>
        <v>30</v>
      </c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</row>
    <row r="277" spans="1:19" ht="17.100000000000001" customHeight="1">
      <c r="A277" s="10" t="s">
        <v>277</v>
      </c>
      <c r="B277" s="7">
        <f t="shared" si="5"/>
        <v>30</v>
      </c>
      <c r="C277" s="7">
        <v>0</v>
      </c>
      <c r="D277" s="7">
        <v>0</v>
      </c>
      <c r="E277" s="8"/>
      <c r="F277" s="8">
        <f t="shared" si="7"/>
        <v>30</v>
      </c>
    </row>
    <row r="278" spans="1:19" ht="17.100000000000001" customHeight="1">
      <c r="A278" s="10" t="s">
        <v>278</v>
      </c>
      <c r="B278" s="7">
        <f t="shared" si="5"/>
        <v>30</v>
      </c>
      <c r="C278" s="7">
        <v>0</v>
      </c>
      <c r="D278" s="7">
        <v>0</v>
      </c>
      <c r="E278" s="8"/>
      <c r="F278" s="8">
        <f t="shared" si="7"/>
        <v>30</v>
      </c>
    </row>
    <row r="279" spans="1:19" ht="17.100000000000001" customHeight="1">
      <c r="A279" s="10" t="s">
        <v>279</v>
      </c>
      <c r="B279" s="7">
        <f t="shared" si="5"/>
        <v>30</v>
      </c>
      <c r="C279" s="7">
        <v>0</v>
      </c>
      <c r="D279" s="7">
        <v>0</v>
      </c>
      <c r="E279" s="8"/>
      <c r="F279" s="8">
        <f t="shared" si="7"/>
        <v>30</v>
      </c>
    </row>
    <row r="280" spans="1:19" ht="17.100000000000001" customHeight="1">
      <c r="A280" s="10" t="s">
        <v>280</v>
      </c>
      <c r="B280" s="7">
        <f t="shared" si="5"/>
        <v>30</v>
      </c>
      <c r="C280" s="7">
        <v>0</v>
      </c>
      <c r="D280" s="7">
        <v>0</v>
      </c>
      <c r="E280" s="8"/>
      <c r="F280" s="8">
        <f t="shared" si="7"/>
        <v>30</v>
      </c>
    </row>
    <row r="281" spans="1:19" ht="17.100000000000001" customHeight="1">
      <c r="A281" s="10" t="s">
        <v>281</v>
      </c>
      <c r="B281" s="7">
        <f t="shared" si="5"/>
        <v>60</v>
      </c>
      <c r="C281" s="7">
        <f>SUM(30)</f>
        <v>30</v>
      </c>
      <c r="D281" s="7">
        <v>0</v>
      </c>
      <c r="E281" s="8"/>
      <c r="F281" s="8">
        <f t="shared" si="7"/>
        <v>30</v>
      </c>
    </row>
    <row r="282" spans="1:19" ht="17.100000000000001" customHeight="1">
      <c r="A282" s="10" t="s">
        <v>211</v>
      </c>
      <c r="B282" s="7">
        <f t="shared" si="5"/>
        <v>30</v>
      </c>
      <c r="C282" s="7">
        <v>0</v>
      </c>
      <c r="D282" s="7">
        <v>0</v>
      </c>
      <c r="E282" s="8"/>
      <c r="F282" s="8"/>
      <c r="G282" s="8"/>
      <c r="H282" s="8"/>
      <c r="I282" s="8"/>
      <c r="J282" s="8"/>
      <c r="K282" s="8"/>
      <c r="L282" s="8">
        <v>30</v>
      </c>
      <c r="M282" s="8"/>
      <c r="N282" s="8"/>
      <c r="O282" s="8"/>
      <c r="P282" s="8"/>
      <c r="Q282" s="8"/>
      <c r="R282" s="8"/>
      <c r="S282" s="8"/>
    </row>
    <row r="283" spans="1:19" ht="17.100000000000001" customHeight="1">
      <c r="A283" s="10" t="s">
        <v>282</v>
      </c>
      <c r="B283" s="7">
        <f t="shared" si="5"/>
        <v>30</v>
      </c>
      <c r="C283" s="7">
        <v>0</v>
      </c>
      <c r="D283" s="7">
        <v>0</v>
      </c>
      <c r="E283" s="8"/>
      <c r="F283" s="8"/>
      <c r="G283" s="8"/>
      <c r="H283" s="8"/>
      <c r="I283" s="8"/>
      <c r="J283" s="8"/>
      <c r="K283" s="8"/>
      <c r="L283" s="8"/>
      <c r="M283" s="8">
        <v>30</v>
      </c>
      <c r="N283" s="8"/>
      <c r="O283" s="8"/>
      <c r="P283" s="8"/>
      <c r="Q283" s="8"/>
      <c r="R283" s="8"/>
      <c r="S283" s="8"/>
    </row>
    <row r="284" spans="1:19" ht="17.100000000000001" customHeight="1">
      <c r="A284" s="10" t="s">
        <v>283</v>
      </c>
      <c r="B284" s="7">
        <f t="shared" si="5"/>
        <v>30</v>
      </c>
      <c r="C284" s="7">
        <v>0</v>
      </c>
      <c r="D284" s="7">
        <v>0</v>
      </c>
      <c r="E284" s="8"/>
      <c r="F284" s="8"/>
      <c r="G284" s="8"/>
      <c r="H284" s="8"/>
      <c r="I284" s="8"/>
      <c r="J284" s="8"/>
      <c r="K284" s="8"/>
      <c r="L284" s="8"/>
      <c r="M284" s="8">
        <v>30</v>
      </c>
      <c r="N284" s="8"/>
      <c r="O284" s="8"/>
      <c r="P284" s="8"/>
      <c r="Q284" s="8"/>
      <c r="R284" s="8"/>
      <c r="S284" s="8"/>
    </row>
    <row r="285" spans="1:19" ht="17.100000000000001" customHeight="1">
      <c r="A285" s="6" t="s">
        <v>284</v>
      </c>
      <c r="B285" s="7">
        <f t="shared" si="5"/>
        <v>30</v>
      </c>
      <c r="C285" s="7">
        <v>0</v>
      </c>
      <c r="D285" s="7">
        <f>SUM(30)</f>
        <v>30</v>
      </c>
    </row>
    <row r="286" spans="1:19" ht="17.100000000000001" customHeight="1">
      <c r="A286" s="6" t="s">
        <v>285</v>
      </c>
      <c r="B286" s="7">
        <f t="shared" si="5"/>
        <v>30</v>
      </c>
      <c r="C286" s="7">
        <v>0</v>
      </c>
      <c r="D286" s="7">
        <f>SUM(30)</f>
        <v>30</v>
      </c>
    </row>
    <row r="287" spans="1:19" ht="17.100000000000001" customHeight="1">
      <c r="A287" s="6" t="s">
        <v>286</v>
      </c>
      <c r="B287" s="7">
        <f t="shared" si="5"/>
        <v>130.6</v>
      </c>
      <c r="C287" s="7">
        <f>SUM(31.6+49+50)</f>
        <v>130.6</v>
      </c>
      <c r="D287" s="7">
        <v>0</v>
      </c>
    </row>
    <row r="288" spans="1:19" ht="17.100000000000001" customHeight="1">
      <c r="A288" s="6" t="s">
        <v>287</v>
      </c>
      <c r="B288" s="7">
        <f t="shared" si="5"/>
        <v>30</v>
      </c>
      <c r="C288" s="7">
        <f>SUM(30)</f>
        <v>30</v>
      </c>
      <c r="D288" s="7">
        <v>0</v>
      </c>
    </row>
    <row r="289" spans="1:5" ht="17.100000000000001" customHeight="1">
      <c r="A289" s="6" t="s">
        <v>288</v>
      </c>
      <c r="B289" s="7">
        <f t="shared" si="5"/>
        <v>30</v>
      </c>
      <c r="C289" s="7">
        <f>SUM(30)</f>
        <v>30</v>
      </c>
      <c r="D289" s="7">
        <v>0</v>
      </c>
    </row>
    <row r="290" spans="1:5" ht="17.100000000000001" customHeight="1">
      <c r="A290" s="6" t="s">
        <v>289</v>
      </c>
      <c r="B290" s="7">
        <f t="shared" si="5"/>
        <v>138.6</v>
      </c>
      <c r="C290" s="7">
        <f>SUM(35+53.6+50)</f>
        <v>138.6</v>
      </c>
      <c r="D290" s="7">
        <v>0</v>
      </c>
    </row>
    <row r="291" spans="1:5" ht="17.100000000000001" customHeight="1">
      <c r="A291" s="6" t="s">
        <v>290</v>
      </c>
      <c r="B291" s="7">
        <f t="shared" si="5"/>
        <v>35</v>
      </c>
      <c r="C291" s="7">
        <f>SUM(35)</f>
        <v>35</v>
      </c>
      <c r="D291" s="7">
        <v>0</v>
      </c>
    </row>
    <row r="292" spans="1:5" ht="17.100000000000001" customHeight="1">
      <c r="A292" s="6" t="s">
        <v>291</v>
      </c>
      <c r="B292" s="7">
        <f t="shared" si="5"/>
        <v>225</v>
      </c>
      <c r="C292" s="7">
        <f>SUM(35+60+50+80)</f>
        <v>225</v>
      </c>
      <c r="D292" s="7">
        <v>0</v>
      </c>
    </row>
    <row r="293" spans="1:5" ht="17.100000000000001" customHeight="1">
      <c r="A293" s="6" t="s">
        <v>292</v>
      </c>
      <c r="B293" s="7">
        <f t="shared" si="5"/>
        <v>74</v>
      </c>
      <c r="C293" s="7">
        <f>SUM(34+40)</f>
        <v>74</v>
      </c>
      <c r="D293" s="7">
        <v>0</v>
      </c>
    </row>
    <row r="294" spans="1:5" ht="17.100000000000001" customHeight="1">
      <c r="A294" s="6" t="s">
        <v>293</v>
      </c>
      <c r="B294" s="7">
        <f t="shared" si="5"/>
        <v>188</v>
      </c>
      <c r="C294" s="7">
        <f>SUM(49+50)</f>
        <v>99</v>
      </c>
      <c r="D294" s="7">
        <f>SUM(53)</f>
        <v>53</v>
      </c>
      <c r="E294" s="9">
        <f>SUM(36)</f>
        <v>36</v>
      </c>
    </row>
    <row r="295" spans="1:5" ht="17.100000000000001" customHeight="1">
      <c r="A295" s="6" t="s">
        <v>294</v>
      </c>
      <c r="B295" s="7">
        <f t="shared" si="5"/>
        <v>80</v>
      </c>
      <c r="C295" s="7">
        <f>SUM(30+50)</f>
        <v>80</v>
      </c>
      <c r="D295" s="7">
        <v>0</v>
      </c>
    </row>
    <row r="296" spans="1:5" ht="17.100000000000001" customHeight="1">
      <c r="A296" s="6" t="s">
        <v>295</v>
      </c>
      <c r="B296" s="7">
        <f t="shared" si="5"/>
        <v>70</v>
      </c>
      <c r="C296" s="7">
        <f>SUM(30+40)</f>
        <v>70</v>
      </c>
      <c r="D296" s="7">
        <v>0</v>
      </c>
    </row>
    <row r="297" spans="1:5" ht="17.100000000000001" customHeight="1">
      <c r="A297" s="6" t="s">
        <v>296</v>
      </c>
      <c r="B297" s="7">
        <f t="shared" si="5"/>
        <v>105</v>
      </c>
      <c r="C297" s="7">
        <f>SUM(30+40+35)</f>
        <v>105</v>
      </c>
      <c r="D297" s="7">
        <v>0</v>
      </c>
    </row>
    <row r="298" spans="1:5" ht="17.100000000000001" customHeight="1">
      <c r="A298" s="6" t="s">
        <v>297</v>
      </c>
      <c r="B298" s="7">
        <f t="shared" si="5"/>
        <v>162.5</v>
      </c>
      <c r="C298" s="7">
        <f>SUM(82.5+80)</f>
        <v>162.5</v>
      </c>
      <c r="D298" s="7">
        <v>0</v>
      </c>
    </row>
    <row r="299" spans="1:5" ht="17.100000000000001" customHeight="1">
      <c r="A299" s="6" t="s">
        <v>298</v>
      </c>
      <c r="B299" s="7">
        <f t="shared" si="5"/>
        <v>30</v>
      </c>
      <c r="C299" s="12">
        <f>SUM(30)</f>
        <v>30</v>
      </c>
      <c r="D299" s="7">
        <v>0</v>
      </c>
    </row>
    <row r="300" spans="1:5" ht="17.100000000000001" customHeight="1">
      <c r="A300" s="6" t="s">
        <v>299</v>
      </c>
      <c r="B300" s="7">
        <f t="shared" si="5"/>
        <v>80</v>
      </c>
      <c r="C300" s="12">
        <f>SUM(30+50)</f>
        <v>80</v>
      </c>
      <c r="D300" s="7">
        <v>0</v>
      </c>
    </row>
    <row r="301" spans="1:5" ht="17.100000000000001" customHeight="1">
      <c r="A301" s="6" t="s">
        <v>300</v>
      </c>
      <c r="B301" s="7">
        <f t="shared" si="5"/>
        <v>80</v>
      </c>
      <c r="C301" s="12">
        <f>SUM(30+50)</f>
        <v>80</v>
      </c>
      <c r="D301" s="7">
        <v>0</v>
      </c>
    </row>
    <row r="302" spans="1:5" ht="17.100000000000001" customHeight="1">
      <c r="A302" s="6" t="s">
        <v>301</v>
      </c>
      <c r="B302" s="7">
        <f t="shared" si="5"/>
        <v>30</v>
      </c>
      <c r="C302" s="12">
        <f>SUM(30)</f>
        <v>30</v>
      </c>
      <c r="D302" s="7">
        <v>0</v>
      </c>
    </row>
    <row r="303" spans="1:5" ht="17.100000000000001" customHeight="1">
      <c r="A303" s="6" t="s">
        <v>302</v>
      </c>
      <c r="B303" s="7">
        <f t="shared" si="5"/>
        <v>80</v>
      </c>
      <c r="C303" s="12">
        <f>SUM(30+50)</f>
        <v>80</v>
      </c>
      <c r="D303" s="7">
        <v>0</v>
      </c>
    </row>
    <row r="304" spans="1:5" ht="17.100000000000001" customHeight="1">
      <c r="A304" s="6" t="s">
        <v>303</v>
      </c>
      <c r="B304" s="7">
        <f t="shared" si="5"/>
        <v>30</v>
      </c>
      <c r="C304" s="12">
        <f>SUM(30)</f>
        <v>30</v>
      </c>
      <c r="D304" s="7">
        <v>0</v>
      </c>
    </row>
    <row r="305" spans="1:4" ht="17.100000000000001" customHeight="1">
      <c r="A305" s="6" t="s">
        <v>304</v>
      </c>
      <c r="B305" s="7">
        <f t="shared" si="5"/>
        <v>40</v>
      </c>
      <c r="C305" s="12">
        <f>SUM(40)</f>
        <v>40</v>
      </c>
      <c r="D305" s="7">
        <v>0</v>
      </c>
    </row>
    <row r="306" spans="1:4" ht="17.100000000000001" customHeight="1">
      <c r="B306" s="7">
        <f t="shared" si="5"/>
        <v>0</v>
      </c>
      <c r="C306" s="12">
        <v>0</v>
      </c>
      <c r="D306" s="7">
        <v>0</v>
      </c>
    </row>
    <row r="307" spans="1:4" ht="17.100000000000001" customHeight="1">
      <c r="B307" s="7">
        <f t="shared" si="5"/>
        <v>0</v>
      </c>
      <c r="C307" s="12">
        <v>0</v>
      </c>
      <c r="D307" s="7">
        <v>0</v>
      </c>
    </row>
    <row r="308" spans="1:4" ht="17.100000000000001" customHeight="1">
      <c r="B308" s="7">
        <f t="shared" si="5"/>
        <v>0</v>
      </c>
      <c r="C308" s="12">
        <v>0</v>
      </c>
      <c r="D308" s="7">
        <v>0</v>
      </c>
    </row>
    <row r="309" spans="1:4" ht="17.100000000000001" customHeight="1">
      <c r="B309" s="7">
        <f t="shared" si="5"/>
        <v>0</v>
      </c>
      <c r="D309" s="7">
        <v>0</v>
      </c>
    </row>
    <row r="310" spans="1:4" ht="17.100000000000001" customHeight="1">
      <c r="D310" s="7">
        <v>0</v>
      </c>
    </row>
    <row r="311" spans="1:4" ht="17.100000000000001" customHeight="1">
      <c r="D311" s="7">
        <v>0</v>
      </c>
    </row>
    <row r="312" spans="1:4" ht="17.100000000000001" customHeight="1">
      <c r="D312" s="7">
        <v>0</v>
      </c>
    </row>
    <row r="313" spans="1:4" ht="17.100000000000001" customHeight="1">
      <c r="D313" s="7">
        <v>0</v>
      </c>
    </row>
    <row r="314" spans="1:4" ht="17.100000000000001" customHeight="1">
      <c r="A314" s="6" t="s">
        <v>305</v>
      </c>
      <c r="D314" s="7">
        <v>0</v>
      </c>
    </row>
    <row r="315" spans="1:4" ht="17.100000000000001" customHeight="1">
      <c r="D315" s="7">
        <v>0</v>
      </c>
    </row>
    <row r="316" spans="1:4" ht="17.100000000000001" customHeight="1">
      <c r="D316" s="7">
        <v>0</v>
      </c>
    </row>
    <row r="317" spans="1:4" ht="17.100000000000001" customHeight="1">
      <c r="D317" s="7">
        <v>0</v>
      </c>
    </row>
    <row r="318" spans="1:4" ht="17.100000000000001" customHeight="1">
      <c r="D318" s="7">
        <v>0</v>
      </c>
    </row>
    <row r="319" spans="1:4" ht="17.100000000000001" customHeight="1">
      <c r="D319" s="7">
        <v>0</v>
      </c>
    </row>
    <row r="320" spans="1:4" ht="17.100000000000001" customHeight="1">
      <c r="D320" s="7">
        <v>0</v>
      </c>
    </row>
    <row r="321" spans="4:4" ht="17.100000000000001" customHeight="1">
      <c r="D321" s="7">
        <v>0</v>
      </c>
    </row>
    <row r="322" spans="4:4" ht="17.100000000000001" customHeight="1">
      <c r="D322" s="7">
        <v>0</v>
      </c>
    </row>
    <row r="323" spans="4:4" ht="17.100000000000001" customHeight="1">
      <c r="D323" s="7">
        <v>0</v>
      </c>
    </row>
    <row r="324" spans="4:4" ht="17.100000000000001" customHeight="1">
      <c r="D324" s="7">
        <v>0</v>
      </c>
    </row>
    <row r="325" spans="4:4" ht="17.100000000000001" customHeight="1">
      <c r="D325" s="7">
        <v>0</v>
      </c>
    </row>
    <row r="326" spans="4:4" ht="17.100000000000001" customHeight="1">
      <c r="D326" s="7">
        <v>0</v>
      </c>
    </row>
    <row r="327" spans="4:4" ht="17.100000000000001" customHeight="1">
      <c r="D327" s="7">
        <v>0</v>
      </c>
    </row>
    <row r="328" spans="4:4" ht="17.100000000000001" customHeight="1">
      <c r="D328" s="7">
        <v>0</v>
      </c>
    </row>
    <row r="329" spans="4:4" ht="17.100000000000001" customHeight="1">
      <c r="D329" s="7">
        <v>0</v>
      </c>
    </row>
    <row r="330" spans="4:4" ht="17.100000000000001" customHeight="1">
      <c r="D330" s="7">
        <v>0</v>
      </c>
    </row>
    <row r="331" spans="4:4" ht="17.100000000000001" customHeight="1">
      <c r="D331" s="7">
        <v>0</v>
      </c>
    </row>
    <row r="332" spans="4:4" ht="17.100000000000001" customHeight="1">
      <c r="D332" s="7">
        <v>0</v>
      </c>
    </row>
    <row r="333" spans="4:4" ht="17.100000000000001" customHeight="1">
      <c r="D333" s="7">
        <v>0</v>
      </c>
    </row>
    <row r="334" spans="4:4" ht="17.100000000000001" customHeight="1">
      <c r="D334" s="7">
        <v>0</v>
      </c>
    </row>
    <row r="335" spans="4:4" ht="17.100000000000001" customHeight="1">
      <c r="D335" s="7">
        <v>0</v>
      </c>
    </row>
    <row r="336" spans="4:4" ht="17.100000000000001" customHeight="1">
      <c r="D336" s="7">
        <v>0</v>
      </c>
    </row>
    <row r="337" spans="4:4" ht="17.100000000000001" customHeight="1">
      <c r="D337" s="7">
        <v>0</v>
      </c>
    </row>
    <row r="338" spans="4:4" ht="17.100000000000001" customHeight="1">
      <c r="D338" s="7">
        <v>0</v>
      </c>
    </row>
    <row r="339" spans="4:4" ht="17.100000000000001" customHeight="1">
      <c r="D339" s="7">
        <v>0</v>
      </c>
    </row>
    <row r="340" spans="4:4" ht="17.100000000000001" customHeight="1">
      <c r="D340" s="7">
        <v>0</v>
      </c>
    </row>
    <row r="341" spans="4:4" ht="17.100000000000001" customHeight="1">
      <c r="D341" s="7">
        <v>0</v>
      </c>
    </row>
    <row r="342" spans="4:4" ht="17.100000000000001" customHeight="1">
      <c r="D342" s="7">
        <v>0</v>
      </c>
    </row>
    <row r="343" spans="4:4" ht="17.100000000000001" customHeight="1">
      <c r="D343" s="7">
        <v>0</v>
      </c>
    </row>
    <row r="344" spans="4:4" ht="17.100000000000001" customHeight="1">
      <c r="D344" s="7">
        <v>0</v>
      </c>
    </row>
    <row r="345" spans="4:4" ht="17.100000000000001" customHeight="1">
      <c r="D345" s="7">
        <v>0</v>
      </c>
    </row>
    <row r="346" spans="4:4" ht="17.100000000000001" customHeight="1">
      <c r="D346" s="7">
        <v>0</v>
      </c>
    </row>
    <row r="347" spans="4:4" ht="17.100000000000001" customHeight="1">
      <c r="D347" s="7">
        <v>0</v>
      </c>
    </row>
    <row r="348" spans="4:4" ht="17.100000000000001" customHeight="1">
      <c r="D348" s="7">
        <v>0</v>
      </c>
    </row>
    <row r="349" spans="4:4" ht="17.100000000000001" customHeight="1">
      <c r="D349" s="7">
        <v>0</v>
      </c>
    </row>
    <row r="350" spans="4:4" ht="17.100000000000001" customHeight="1">
      <c r="D350" s="7">
        <v>0</v>
      </c>
    </row>
    <row r="351" spans="4:4" ht="17.100000000000001" customHeight="1">
      <c r="D351" s="7">
        <v>0</v>
      </c>
    </row>
    <row r="352" spans="4:4" ht="17.100000000000001" customHeight="1">
      <c r="D352" s="7">
        <v>0</v>
      </c>
    </row>
    <row r="353" spans="4:4" ht="17.100000000000001" customHeight="1">
      <c r="D353" s="7">
        <v>0</v>
      </c>
    </row>
    <row r="354" spans="4:4" ht="17.100000000000001" customHeight="1">
      <c r="D354" s="7">
        <v>0</v>
      </c>
    </row>
    <row r="355" spans="4:4" ht="17.100000000000001" customHeight="1">
      <c r="D355" s="7">
        <v>0</v>
      </c>
    </row>
    <row r="356" spans="4:4" ht="17.100000000000001" customHeight="1">
      <c r="D356" s="7">
        <v>0</v>
      </c>
    </row>
    <row r="357" spans="4:4" ht="17.100000000000001" customHeight="1">
      <c r="D357" s="7">
        <v>0</v>
      </c>
    </row>
    <row r="358" spans="4:4" ht="17.100000000000001" customHeight="1">
      <c r="D358" s="7">
        <v>0</v>
      </c>
    </row>
    <row r="359" spans="4:4" ht="17.100000000000001" customHeight="1">
      <c r="D359" s="7">
        <v>0</v>
      </c>
    </row>
    <row r="360" spans="4:4" ht="17.100000000000001" customHeight="1">
      <c r="D360" s="7">
        <v>0</v>
      </c>
    </row>
    <row r="361" spans="4:4" ht="17.100000000000001" customHeight="1">
      <c r="D361" s="7">
        <v>0</v>
      </c>
    </row>
    <row r="362" spans="4:4" ht="17.100000000000001" customHeight="1">
      <c r="D362" s="7">
        <v>0</v>
      </c>
    </row>
    <row r="363" spans="4:4" ht="17.100000000000001" customHeight="1">
      <c r="D363" s="7">
        <v>0</v>
      </c>
    </row>
    <row r="364" spans="4:4" ht="17.100000000000001" customHeight="1">
      <c r="D364" s="7">
        <v>0</v>
      </c>
    </row>
    <row r="365" spans="4:4" ht="17.100000000000001" customHeight="1">
      <c r="D365" s="7">
        <v>0</v>
      </c>
    </row>
    <row r="366" spans="4:4" ht="17.100000000000001" customHeight="1">
      <c r="D366" s="7">
        <v>0</v>
      </c>
    </row>
    <row r="367" spans="4:4" ht="17.100000000000001" customHeight="1">
      <c r="D367" s="7">
        <v>0</v>
      </c>
    </row>
    <row r="368" spans="4:4" ht="17.100000000000001" customHeight="1">
      <c r="D368" s="7">
        <v>0</v>
      </c>
    </row>
    <row r="369" spans="4:4" ht="17.100000000000001" customHeight="1">
      <c r="D369" s="7">
        <v>0</v>
      </c>
    </row>
    <row r="370" spans="4:4" ht="17.100000000000001" customHeight="1">
      <c r="D370" s="7">
        <v>0</v>
      </c>
    </row>
    <row r="371" spans="4:4" ht="17.100000000000001" customHeight="1">
      <c r="D371" s="7">
        <v>0</v>
      </c>
    </row>
    <row r="372" spans="4:4" ht="17.100000000000001" customHeight="1">
      <c r="D372" s="7">
        <v>0</v>
      </c>
    </row>
    <row r="373" spans="4:4" ht="17.100000000000001" customHeight="1">
      <c r="D373" s="7">
        <v>0</v>
      </c>
    </row>
    <row r="374" spans="4:4" ht="17.100000000000001" customHeight="1">
      <c r="D374" s="7">
        <v>0</v>
      </c>
    </row>
    <row r="375" spans="4:4" ht="17.100000000000001" customHeight="1">
      <c r="D375" s="7">
        <v>0</v>
      </c>
    </row>
    <row r="376" spans="4:4" ht="17.100000000000001" customHeight="1">
      <c r="D376" s="7">
        <v>0</v>
      </c>
    </row>
    <row r="377" spans="4:4" ht="17.100000000000001" customHeight="1">
      <c r="D377" s="7">
        <v>0</v>
      </c>
    </row>
    <row r="378" spans="4:4" ht="17.100000000000001" customHeight="1">
      <c r="D378" s="7">
        <v>0</v>
      </c>
    </row>
  </sheetData>
  <pageMargins left="0.70000000000000007" right="0.70000000000000007" top="1.438976377952756" bottom="1.438976377952756" header="1.045275590551181" footer="1.045275590551181"/>
  <pageSetup paperSize="0" fitToWidth="0" fitToHeight="0" pageOrder="overThenDown" orientation="portrait" horizontalDpi="0" verticalDpi="0" copies="0"/>
  <headerFooter alignWithMargin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W51"/>
  <sheetViews>
    <sheetView workbookViewId="0"/>
  </sheetViews>
  <sheetFormatPr defaultRowHeight="12.75" customHeight="1"/>
  <cols>
    <col min="1" max="1" width="22.8125" style="13" customWidth="1"/>
    <col min="2" max="3" width="6.625" style="13" customWidth="1"/>
    <col min="4" max="4" width="4.5625" style="13" customWidth="1"/>
    <col min="5" max="5" width="5" style="13" customWidth="1"/>
    <col min="6" max="6" width="5.75" style="13" customWidth="1"/>
    <col min="7" max="7" width="4.875" style="13" customWidth="1"/>
    <col min="8" max="8" width="4.5625" style="13" customWidth="1"/>
    <col min="9" max="10" width="5.125" style="13" customWidth="1"/>
    <col min="11" max="11" width="5" style="13" customWidth="1"/>
    <col min="12" max="12" width="4.6875" style="13" customWidth="1"/>
    <col min="13" max="13" width="6" style="13" customWidth="1"/>
    <col min="14" max="14" width="5.125" style="13" customWidth="1"/>
    <col min="15" max="15" width="4.4375" style="13" customWidth="1"/>
    <col min="16" max="16" width="4.6875" style="13" customWidth="1"/>
    <col min="17" max="17" width="9.0625" style="13" customWidth="1"/>
    <col min="18" max="257" width="8.3125" style="13" customWidth="1"/>
    <col min="258" max="1024" width="8.3125" customWidth="1"/>
  </cols>
  <sheetData>
    <row r="1" spans="1:17" ht="12.75" customHeight="1">
      <c r="A1" s="16"/>
      <c r="B1" s="16"/>
      <c r="C1" s="17"/>
      <c r="D1" s="16">
        <v>2012</v>
      </c>
      <c r="E1" s="16">
        <v>2011</v>
      </c>
      <c r="F1" s="16">
        <v>2010</v>
      </c>
      <c r="G1" s="16">
        <v>2009</v>
      </c>
      <c r="H1" s="17">
        <v>2008</v>
      </c>
      <c r="I1" s="16">
        <v>2007</v>
      </c>
      <c r="J1" s="16">
        <v>2006</v>
      </c>
      <c r="K1" s="16">
        <v>2005</v>
      </c>
      <c r="L1" s="16">
        <v>2004</v>
      </c>
      <c r="M1" s="16">
        <v>2003</v>
      </c>
      <c r="N1" s="16">
        <v>2002</v>
      </c>
      <c r="O1" s="16">
        <v>2001</v>
      </c>
      <c r="P1" s="16">
        <v>2000</v>
      </c>
      <c r="Q1" s="16" t="s">
        <v>306</v>
      </c>
    </row>
    <row r="2" spans="1:17" ht="12.75" customHeight="1">
      <c r="A2" s="18" t="s">
        <v>13</v>
      </c>
      <c r="B2" s="18">
        <v>1973</v>
      </c>
      <c r="C2" s="18"/>
      <c r="D2" s="19"/>
      <c r="E2" s="19"/>
      <c r="F2" s="19"/>
      <c r="G2" s="19">
        <v>401</v>
      </c>
      <c r="H2" s="20">
        <v>63</v>
      </c>
      <c r="I2" s="20">
        <v>261</v>
      </c>
      <c r="J2" s="20">
        <v>371</v>
      </c>
      <c r="K2" s="20">
        <v>350</v>
      </c>
      <c r="L2" s="20">
        <v>306</v>
      </c>
      <c r="M2" s="20">
        <v>188</v>
      </c>
      <c r="N2" s="20">
        <v>33</v>
      </c>
      <c r="O2" s="20"/>
      <c r="P2" s="20"/>
      <c r="Q2" s="20"/>
    </row>
    <row r="3" spans="1:17" ht="12.75" customHeight="1">
      <c r="A3" s="21" t="s">
        <v>18</v>
      </c>
      <c r="B3" s="21">
        <f>SUM(J3:AV3)</f>
        <v>952</v>
      </c>
      <c r="C3" s="21"/>
      <c r="D3" s="22"/>
      <c r="E3" s="22">
        <v>23</v>
      </c>
      <c r="F3" s="22">
        <v>144</v>
      </c>
      <c r="G3" s="22">
        <v>142</v>
      </c>
      <c r="H3" s="23">
        <v>106</v>
      </c>
      <c r="I3" s="23"/>
      <c r="J3" s="23">
        <v>183</v>
      </c>
      <c r="K3" s="23">
        <v>249</v>
      </c>
      <c r="L3" s="23">
        <v>305</v>
      </c>
      <c r="M3" s="23">
        <v>182</v>
      </c>
      <c r="N3" s="23">
        <v>33</v>
      </c>
      <c r="O3" s="23"/>
      <c r="P3" s="23"/>
      <c r="Q3" s="23"/>
    </row>
    <row r="4" spans="1:17" ht="12.75" customHeight="1">
      <c r="A4" s="24" t="s">
        <v>26</v>
      </c>
      <c r="B4" s="24">
        <v>1169</v>
      </c>
      <c r="C4" s="24"/>
      <c r="D4" s="22"/>
      <c r="E4" s="22">
        <v>400</v>
      </c>
      <c r="F4" s="22">
        <v>374.5</v>
      </c>
      <c r="G4" s="22">
        <v>249.5</v>
      </c>
      <c r="H4" s="23">
        <v>50</v>
      </c>
      <c r="I4" s="23">
        <v>55</v>
      </c>
      <c r="J4" s="23">
        <v>40</v>
      </c>
      <c r="K4" s="23"/>
      <c r="L4" s="23"/>
      <c r="M4" s="23"/>
      <c r="N4" s="23"/>
      <c r="O4" s="23"/>
      <c r="P4" s="23"/>
      <c r="Q4" s="23"/>
    </row>
    <row r="5" spans="1:17" ht="12.75" customHeight="1">
      <c r="A5" s="23" t="s">
        <v>54</v>
      </c>
      <c r="B5" s="23">
        <f>SUM(J5:AV5)</f>
        <v>449</v>
      </c>
      <c r="C5" s="23"/>
      <c r="D5" s="22"/>
      <c r="E5" s="22"/>
      <c r="F5" s="22"/>
      <c r="G5" s="22"/>
      <c r="H5" s="23"/>
      <c r="I5" s="23">
        <v>85</v>
      </c>
      <c r="J5" s="23">
        <v>129</v>
      </c>
      <c r="K5" s="23"/>
      <c r="L5" s="23"/>
      <c r="M5" s="23">
        <v>50</v>
      </c>
      <c r="N5" s="23">
        <v>160</v>
      </c>
      <c r="O5" s="23">
        <v>110</v>
      </c>
      <c r="P5" s="23"/>
      <c r="Q5" s="23"/>
    </row>
    <row r="6" spans="1:17" ht="12.75" customHeight="1">
      <c r="A6" s="23" t="s">
        <v>50</v>
      </c>
      <c r="B6" s="23">
        <v>520</v>
      </c>
      <c r="C6" s="23"/>
      <c r="D6" s="22"/>
      <c r="E6" s="22"/>
      <c r="F6" s="22"/>
      <c r="G6" s="22">
        <v>59</v>
      </c>
      <c r="H6" s="23">
        <v>355</v>
      </c>
      <c r="I6" s="23">
        <v>123</v>
      </c>
      <c r="J6" s="23">
        <v>34</v>
      </c>
      <c r="K6" s="23"/>
      <c r="L6" s="23"/>
      <c r="M6" s="23"/>
      <c r="N6" s="23"/>
      <c r="O6" s="23"/>
      <c r="P6" s="23"/>
      <c r="Q6" s="23"/>
    </row>
    <row r="7" spans="1:17" ht="12.75" customHeight="1">
      <c r="A7" s="22" t="s">
        <v>62</v>
      </c>
      <c r="B7" s="23">
        <v>500</v>
      </c>
      <c r="C7" s="23"/>
      <c r="D7" s="22"/>
      <c r="E7" s="22"/>
      <c r="F7" s="22"/>
      <c r="G7" s="22"/>
      <c r="H7" s="23"/>
      <c r="I7" s="23"/>
      <c r="J7" s="23">
        <v>107</v>
      </c>
      <c r="K7" s="23">
        <v>131</v>
      </c>
      <c r="L7" s="23">
        <v>82</v>
      </c>
      <c r="M7" s="23">
        <v>180</v>
      </c>
      <c r="N7" s="23"/>
      <c r="O7" s="23"/>
      <c r="P7" s="23"/>
      <c r="Q7" s="23"/>
    </row>
    <row r="8" spans="1:17" ht="12.75" customHeight="1">
      <c r="A8" s="22" t="s">
        <v>70</v>
      </c>
      <c r="B8" s="22">
        <v>420.5</v>
      </c>
      <c r="C8" s="22"/>
      <c r="D8" s="22"/>
      <c r="E8" s="22"/>
      <c r="F8" s="22"/>
      <c r="G8" s="22">
        <v>369</v>
      </c>
      <c r="H8" s="23">
        <v>71</v>
      </c>
      <c r="I8" s="23"/>
      <c r="J8" s="23"/>
      <c r="K8" s="23"/>
      <c r="L8" s="23"/>
      <c r="M8" s="23"/>
      <c r="N8" s="23"/>
      <c r="O8" s="23"/>
      <c r="P8" s="23"/>
      <c r="Q8" s="23"/>
    </row>
    <row r="9" spans="1:17" ht="12.75" customHeight="1">
      <c r="A9" s="22" t="s">
        <v>95</v>
      </c>
      <c r="B9" s="23">
        <v>358</v>
      </c>
      <c r="C9" s="23"/>
      <c r="D9" s="22"/>
      <c r="E9" s="22"/>
      <c r="F9" s="22"/>
      <c r="G9" s="22">
        <v>94</v>
      </c>
      <c r="H9" s="23">
        <v>102</v>
      </c>
      <c r="I9" s="23"/>
      <c r="J9" s="23"/>
      <c r="K9" s="23"/>
      <c r="L9" s="23"/>
      <c r="M9" s="23"/>
      <c r="N9" s="23"/>
      <c r="O9" s="23"/>
      <c r="P9" s="23"/>
      <c r="Q9" s="23"/>
    </row>
    <row r="10" spans="1:17" ht="12.75" customHeight="1">
      <c r="A10" s="23" t="s">
        <v>82</v>
      </c>
      <c r="B10" s="23">
        <f>SUM(J10:AV10)</f>
        <v>34</v>
      </c>
      <c r="C10" s="23"/>
      <c r="D10" s="22"/>
      <c r="E10" s="22"/>
      <c r="F10" s="22"/>
      <c r="G10" s="22"/>
      <c r="H10" s="23"/>
      <c r="I10" s="23">
        <v>289</v>
      </c>
      <c r="J10" s="23">
        <v>34</v>
      </c>
      <c r="K10" s="23"/>
      <c r="L10" s="23"/>
      <c r="M10" s="23"/>
      <c r="N10" s="23"/>
      <c r="O10" s="23"/>
      <c r="P10" s="23"/>
      <c r="Q10" s="23"/>
    </row>
    <row r="11" spans="1:17" ht="12.75" customHeight="1">
      <c r="A11" s="23" t="s">
        <v>87</v>
      </c>
      <c r="B11" s="23">
        <f>SUM(J11:AV11)</f>
        <v>80</v>
      </c>
      <c r="C11" s="23"/>
      <c r="D11" s="22"/>
      <c r="E11" s="22"/>
      <c r="F11" s="22"/>
      <c r="G11" s="22"/>
      <c r="H11" s="23">
        <v>55</v>
      </c>
      <c r="I11" s="23">
        <v>140</v>
      </c>
      <c r="J11" s="23"/>
      <c r="K11" s="23"/>
      <c r="L11" s="23"/>
      <c r="M11" s="23"/>
      <c r="N11" s="23">
        <v>80</v>
      </c>
      <c r="O11" s="23"/>
      <c r="P11" s="23"/>
      <c r="Q11" s="23"/>
    </row>
    <row r="12" spans="1:17" ht="12.75" customHeight="1">
      <c r="A12" s="23" t="s">
        <v>89</v>
      </c>
      <c r="B12" s="23">
        <v>270</v>
      </c>
      <c r="C12" s="23"/>
      <c r="D12" s="22"/>
      <c r="E12" s="22"/>
      <c r="F12" s="22"/>
      <c r="G12" s="22"/>
      <c r="H12" s="23"/>
      <c r="I12" s="23">
        <v>270</v>
      </c>
      <c r="J12" s="23"/>
      <c r="K12" s="23"/>
      <c r="L12" s="23"/>
      <c r="M12" s="23"/>
      <c r="N12" s="23"/>
      <c r="O12" s="23"/>
      <c r="P12" s="23"/>
      <c r="Q12" s="23"/>
    </row>
    <row r="13" spans="1:17" ht="12.75" customHeight="1">
      <c r="A13" s="22" t="s">
        <v>100</v>
      </c>
      <c r="B13" s="23">
        <v>225.85</v>
      </c>
      <c r="C13" s="23"/>
      <c r="D13" s="22">
        <v>118.85</v>
      </c>
      <c r="E13" s="22">
        <v>107</v>
      </c>
      <c r="F13" s="22"/>
      <c r="G13" s="22"/>
      <c r="H13" s="23"/>
      <c r="I13" s="23"/>
      <c r="J13" s="23"/>
      <c r="K13" s="23"/>
      <c r="L13" s="23"/>
      <c r="M13" s="23"/>
      <c r="N13" s="23"/>
      <c r="O13" s="23"/>
      <c r="P13" s="23"/>
      <c r="Q13" s="23"/>
    </row>
    <row r="14" spans="1:17" ht="12.75" customHeight="1">
      <c r="A14" s="23" t="s">
        <v>114</v>
      </c>
      <c r="B14" s="23">
        <f>SUM(J14:AV14)</f>
        <v>31</v>
      </c>
      <c r="C14" s="23"/>
      <c r="D14" s="22"/>
      <c r="E14" s="22"/>
      <c r="F14" s="22"/>
      <c r="G14" s="22">
        <v>39</v>
      </c>
      <c r="H14" s="23">
        <v>92</v>
      </c>
      <c r="I14" s="23">
        <v>30</v>
      </c>
      <c r="J14" s="23">
        <v>31</v>
      </c>
      <c r="K14" s="23"/>
      <c r="L14" s="23"/>
      <c r="M14" s="23"/>
      <c r="N14" s="23"/>
      <c r="O14" s="23"/>
      <c r="P14" s="23"/>
      <c r="Q14" s="23"/>
    </row>
    <row r="15" spans="1:17" ht="12.75" customHeight="1">
      <c r="A15" s="23" t="s">
        <v>116</v>
      </c>
      <c r="B15" s="23">
        <f>SUM(J15:AV15)</f>
        <v>73</v>
      </c>
      <c r="C15" s="23"/>
      <c r="D15" s="22"/>
      <c r="E15" s="22"/>
      <c r="F15" s="22"/>
      <c r="G15" s="22"/>
      <c r="H15" s="23">
        <v>38</v>
      </c>
      <c r="I15" s="23">
        <v>74</v>
      </c>
      <c r="J15" s="23">
        <v>73</v>
      </c>
      <c r="K15" s="23"/>
      <c r="L15" s="23"/>
      <c r="M15" s="23"/>
      <c r="N15" s="23"/>
      <c r="O15" s="23"/>
      <c r="P15" s="23"/>
      <c r="Q15" s="23"/>
    </row>
    <row r="16" spans="1:17" ht="12.75" customHeight="1">
      <c r="A16" s="23" t="s">
        <v>117</v>
      </c>
      <c r="B16" s="23">
        <f>SUM(J16:AV16)</f>
        <v>0</v>
      </c>
      <c r="C16" s="23"/>
      <c r="D16" s="22"/>
      <c r="E16" s="22"/>
      <c r="F16" s="22"/>
      <c r="G16" s="22"/>
      <c r="H16" s="23"/>
      <c r="I16" s="23">
        <v>176</v>
      </c>
      <c r="J16" s="23"/>
      <c r="K16" s="23"/>
      <c r="L16" s="23"/>
      <c r="M16" s="23"/>
      <c r="N16" s="23"/>
      <c r="O16" s="23"/>
      <c r="P16" s="23"/>
      <c r="Q16" s="23"/>
    </row>
    <row r="17" spans="1:17" ht="12.75" customHeight="1">
      <c r="A17" s="23" t="s">
        <v>124</v>
      </c>
      <c r="B17" s="23">
        <f>SUM(J17:AV17)</f>
        <v>0</v>
      </c>
      <c r="C17" s="23"/>
      <c r="D17" s="22"/>
      <c r="E17" s="22"/>
      <c r="F17" s="22"/>
      <c r="G17" s="22"/>
      <c r="H17" s="23"/>
      <c r="I17" s="23">
        <v>165</v>
      </c>
      <c r="J17" s="23"/>
      <c r="K17" s="23"/>
      <c r="L17" s="23"/>
      <c r="M17" s="23"/>
      <c r="N17" s="23"/>
      <c r="O17" s="23"/>
      <c r="P17" s="23"/>
      <c r="Q17" s="23"/>
    </row>
    <row r="18" spans="1:17" ht="12.75" customHeight="1">
      <c r="A18" s="23" t="s">
        <v>131</v>
      </c>
      <c r="B18" s="23">
        <f>SUM(J18:AV18)</f>
        <v>110</v>
      </c>
      <c r="C18" s="23"/>
      <c r="D18" s="22"/>
      <c r="E18" s="22"/>
      <c r="F18" s="22"/>
      <c r="G18" s="22"/>
      <c r="H18" s="23"/>
      <c r="I18" s="23">
        <v>34</v>
      </c>
      <c r="J18" s="23"/>
      <c r="K18" s="23"/>
      <c r="L18" s="23"/>
      <c r="M18" s="23"/>
      <c r="N18" s="23">
        <v>80</v>
      </c>
      <c r="O18" s="23">
        <v>30</v>
      </c>
      <c r="P18" s="23"/>
      <c r="Q18" s="23"/>
    </row>
    <row r="19" spans="1:17" ht="12.75" customHeight="1">
      <c r="A19" s="23" t="s">
        <v>144</v>
      </c>
      <c r="B19" s="22">
        <v>122</v>
      </c>
      <c r="C19" s="22"/>
      <c r="D19" s="22"/>
      <c r="E19" s="22"/>
      <c r="F19" s="22"/>
      <c r="G19" s="22"/>
      <c r="H19" s="23">
        <v>51</v>
      </c>
      <c r="I19" s="23">
        <v>40</v>
      </c>
      <c r="J19" s="23">
        <v>31</v>
      </c>
      <c r="K19" s="23"/>
      <c r="L19" s="23"/>
      <c r="M19" s="23"/>
      <c r="N19" s="23"/>
      <c r="O19" s="23"/>
      <c r="P19" s="23"/>
      <c r="Q19" s="23"/>
    </row>
    <row r="20" spans="1:17" ht="12.75" customHeight="1">
      <c r="A20" s="25" t="s">
        <v>158</v>
      </c>
      <c r="B20" s="23">
        <f>SUM(J20:AV20)</f>
        <v>0</v>
      </c>
      <c r="C20" s="23"/>
      <c r="D20" s="22"/>
      <c r="E20" s="22"/>
      <c r="F20" s="22"/>
      <c r="G20" s="22"/>
      <c r="H20" s="23"/>
      <c r="I20" s="23">
        <v>90</v>
      </c>
      <c r="J20" s="23"/>
      <c r="K20" s="23"/>
      <c r="L20" s="23"/>
      <c r="M20" s="23"/>
      <c r="N20" s="23"/>
      <c r="O20" s="23"/>
      <c r="P20" s="23"/>
      <c r="Q20" s="23"/>
    </row>
    <row r="21" spans="1:17" ht="12.75" customHeight="1">
      <c r="A21" s="23" t="s">
        <v>128</v>
      </c>
      <c r="B21" s="23">
        <v>89</v>
      </c>
      <c r="C21" s="23"/>
      <c r="D21" s="22"/>
      <c r="E21" s="22"/>
      <c r="F21" s="22"/>
      <c r="G21" s="22"/>
      <c r="H21" s="23">
        <v>146</v>
      </c>
      <c r="I21" s="23"/>
      <c r="J21" s="23"/>
      <c r="K21" s="23"/>
      <c r="L21" s="23"/>
      <c r="M21" s="23"/>
      <c r="N21" s="23"/>
      <c r="O21" s="23"/>
      <c r="P21" s="23"/>
      <c r="Q21" s="23"/>
    </row>
    <row r="22" spans="1:17" ht="12.75" customHeight="1">
      <c r="A22" s="22" t="s">
        <v>165</v>
      </c>
      <c r="B22" s="22">
        <v>83</v>
      </c>
      <c r="C22" s="22"/>
      <c r="D22" s="22"/>
      <c r="E22" s="22"/>
      <c r="F22" s="22"/>
      <c r="G22" s="22">
        <v>83</v>
      </c>
      <c r="H22" s="22"/>
      <c r="I22" s="22"/>
      <c r="J22" s="22"/>
      <c r="K22" s="22"/>
      <c r="L22" s="22"/>
      <c r="M22" s="22"/>
      <c r="N22" s="22"/>
      <c r="O22" s="22"/>
      <c r="P22" s="22"/>
      <c r="Q22" s="22"/>
    </row>
    <row r="23" spans="1:17" ht="12.75" customHeight="1">
      <c r="A23" s="22" t="s">
        <v>181</v>
      </c>
      <c r="B23" s="23">
        <f>SUM(J23:AV23)</f>
        <v>0</v>
      </c>
      <c r="C23" s="23"/>
      <c r="D23" s="22"/>
      <c r="E23" s="22"/>
      <c r="F23" s="22"/>
      <c r="G23" s="22"/>
      <c r="H23" s="23"/>
      <c r="I23" s="23">
        <v>72</v>
      </c>
      <c r="J23" s="23"/>
      <c r="K23" s="23"/>
      <c r="L23" s="23"/>
      <c r="M23" s="23"/>
      <c r="N23" s="23"/>
      <c r="O23" s="23"/>
      <c r="P23" s="23"/>
      <c r="Q23" s="23"/>
    </row>
    <row r="24" spans="1:17" ht="12.75" customHeight="1">
      <c r="A24" s="23" t="s">
        <v>184</v>
      </c>
      <c r="B24" s="23">
        <f>SUM(J24:AV24)</f>
        <v>0</v>
      </c>
      <c r="C24" s="23"/>
      <c r="D24" s="22"/>
      <c r="E24" s="22"/>
      <c r="F24" s="22"/>
      <c r="G24" s="22"/>
      <c r="H24" s="23"/>
      <c r="I24" s="23">
        <v>69</v>
      </c>
      <c r="J24" s="23"/>
      <c r="K24" s="23"/>
      <c r="L24" s="23"/>
      <c r="M24" s="23"/>
      <c r="N24" s="23"/>
      <c r="O24" s="23"/>
      <c r="P24" s="23"/>
      <c r="Q24" s="23"/>
    </row>
    <row r="25" spans="1:17" ht="12.75" customHeight="1">
      <c r="A25" s="22" t="s">
        <v>185</v>
      </c>
      <c r="B25" s="23">
        <f>SUM(J25:AV25)</f>
        <v>0</v>
      </c>
      <c r="C25" s="23"/>
      <c r="D25" s="22"/>
      <c r="E25" s="22"/>
      <c r="F25" s="22"/>
      <c r="G25" s="22"/>
      <c r="H25" s="23"/>
      <c r="I25" s="23">
        <v>69</v>
      </c>
      <c r="J25" s="23"/>
      <c r="K25" s="23"/>
      <c r="L25" s="23"/>
      <c r="M25" s="23"/>
      <c r="N25" s="23"/>
      <c r="O25" s="23"/>
      <c r="P25" s="23"/>
      <c r="Q25" s="23"/>
    </row>
    <row r="26" spans="1:17" ht="12.75" customHeight="1">
      <c r="A26" s="23" t="s">
        <v>183</v>
      </c>
      <c r="B26" s="23">
        <v>69</v>
      </c>
      <c r="C26" s="23"/>
      <c r="D26" s="22"/>
      <c r="E26" s="22"/>
      <c r="F26" s="22"/>
      <c r="G26" s="22"/>
      <c r="H26" s="23"/>
      <c r="I26" s="23">
        <v>69</v>
      </c>
      <c r="J26" s="23"/>
      <c r="K26" s="23"/>
      <c r="L26" s="23"/>
      <c r="M26" s="23"/>
      <c r="N26" s="23"/>
      <c r="O26" s="23"/>
      <c r="P26" s="23"/>
      <c r="Q26" s="23"/>
    </row>
    <row r="27" spans="1:17" ht="12.75" customHeight="1">
      <c r="A27" s="22" t="s">
        <v>159</v>
      </c>
      <c r="B27" s="23">
        <v>69</v>
      </c>
      <c r="C27" s="23"/>
      <c r="D27" s="22"/>
      <c r="E27" s="22"/>
      <c r="F27" s="22"/>
      <c r="G27" s="22"/>
      <c r="H27" s="23"/>
      <c r="I27" s="23">
        <v>89</v>
      </c>
      <c r="J27" s="23"/>
      <c r="K27" s="23"/>
      <c r="L27" s="23"/>
      <c r="M27" s="23"/>
      <c r="N27" s="23"/>
      <c r="O27" s="23"/>
      <c r="P27" s="23"/>
      <c r="Q27" s="23"/>
    </row>
    <row r="28" spans="1:17" ht="12.75" customHeight="1">
      <c r="A28" s="25" t="s">
        <v>186</v>
      </c>
      <c r="B28" s="23">
        <f>SUM(J28:AV28)</f>
        <v>0</v>
      </c>
      <c r="C28" s="23"/>
      <c r="D28" s="22"/>
      <c r="E28" s="22"/>
      <c r="F28" s="22"/>
      <c r="G28" s="22"/>
      <c r="H28" s="23"/>
      <c r="I28" s="23">
        <v>68</v>
      </c>
      <c r="J28" s="23"/>
      <c r="K28" s="23"/>
      <c r="L28" s="23"/>
      <c r="M28" s="23"/>
      <c r="N28" s="23"/>
      <c r="O28" s="23"/>
      <c r="P28" s="23"/>
      <c r="Q28" s="23"/>
    </row>
    <row r="29" spans="1:17" ht="12.75" customHeight="1">
      <c r="A29" s="23" t="s">
        <v>183</v>
      </c>
      <c r="B29" s="23">
        <v>66</v>
      </c>
      <c r="C29" s="23"/>
      <c r="D29" s="22"/>
      <c r="E29" s="22"/>
      <c r="F29" s="22"/>
      <c r="G29" s="22"/>
      <c r="H29" s="23"/>
      <c r="I29" s="23">
        <v>69</v>
      </c>
      <c r="J29" s="23"/>
      <c r="K29" s="23"/>
      <c r="L29" s="23"/>
      <c r="M29" s="23"/>
      <c r="N29" s="23"/>
      <c r="O29" s="23"/>
      <c r="P29" s="23"/>
      <c r="Q29" s="23"/>
    </row>
    <row r="30" spans="1:17" ht="12.75" customHeight="1">
      <c r="A30" s="23" t="s">
        <v>214</v>
      </c>
      <c r="B30" s="23">
        <f>SUM(J30:AV30)</f>
        <v>0</v>
      </c>
      <c r="C30" s="23"/>
      <c r="D30" s="22"/>
      <c r="E30" s="22"/>
      <c r="F30" s="22"/>
      <c r="G30" s="22"/>
      <c r="H30" s="23"/>
      <c r="I30" s="23">
        <v>40</v>
      </c>
      <c r="J30" s="23"/>
      <c r="K30" s="23"/>
      <c r="L30" s="23"/>
      <c r="M30" s="23"/>
      <c r="N30" s="23"/>
      <c r="O30" s="23"/>
      <c r="P30" s="23"/>
      <c r="Q30" s="23"/>
    </row>
    <row r="31" spans="1:17" ht="12.75" customHeight="1">
      <c r="A31" s="23" t="s">
        <v>215</v>
      </c>
      <c r="B31" s="23">
        <f>SUM(J31:AV31)</f>
        <v>0</v>
      </c>
      <c r="C31" s="23"/>
      <c r="D31" s="22"/>
      <c r="E31" s="22"/>
      <c r="F31" s="22"/>
      <c r="G31" s="22"/>
      <c r="H31" s="23"/>
      <c r="I31" s="23">
        <v>40</v>
      </c>
      <c r="J31" s="23"/>
      <c r="K31" s="23"/>
      <c r="L31" s="23"/>
      <c r="M31" s="23"/>
      <c r="N31" s="23"/>
      <c r="O31" s="23"/>
      <c r="P31" s="23"/>
      <c r="Q31" s="23"/>
    </row>
    <row r="32" spans="1:17" ht="12.75" customHeight="1">
      <c r="A32" s="22" t="s">
        <v>218</v>
      </c>
      <c r="B32" s="23">
        <f>SUM(J32:AV32)</f>
        <v>0</v>
      </c>
      <c r="C32" s="23"/>
      <c r="D32" s="22"/>
      <c r="E32" s="22"/>
      <c r="F32" s="22"/>
      <c r="G32" s="22"/>
      <c r="H32" s="23">
        <v>39</v>
      </c>
      <c r="I32" s="23"/>
      <c r="J32" s="23"/>
      <c r="K32" s="23"/>
      <c r="L32" s="23"/>
      <c r="M32" s="23"/>
      <c r="N32" s="23"/>
      <c r="O32" s="23"/>
      <c r="P32" s="23"/>
      <c r="Q32" s="23"/>
    </row>
    <row r="33" spans="1:18" ht="12.75" customHeight="1">
      <c r="A33" s="23" t="s">
        <v>216</v>
      </c>
      <c r="B33" s="22">
        <v>39</v>
      </c>
      <c r="C33" s="22"/>
      <c r="D33" s="22"/>
      <c r="E33" s="22"/>
      <c r="F33" s="22"/>
      <c r="G33" s="22">
        <v>39</v>
      </c>
      <c r="H33" s="22"/>
      <c r="I33" s="22"/>
      <c r="J33" s="22"/>
      <c r="K33" s="22"/>
      <c r="L33" s="22"/>
      <c r="M33" s="22"/>
      <c r="N33" s="22"/>
      <c r="O33" s="22"/>
      <c r="P33" s="22"/>
      <c r="Q33" s="22"/>
    </row>
    <row r="34" spans="1:18" ht="12.75" customHeight="1">
      <c r="A34" s="23" t="s">
        <v>217</v>
      </c>
      <c r="B34" s="22">
        <v>39</v>
      </c>
      <c r="C34" s="22"/>
      <c r="D34" s="22"/>
      <c r="E34" s="22"/>
      <c r="F34" s="22"/>
      <c r="G34" s="22">
        <v>39</v>
      </c>
      <c r="H34" s="22"/>
      <c r="I34" s="22"/>
      <c r="J34" s="22"/>
      <c r="K34" s="22"/>
      <c r="L34" s="22"/>
      <c r="M34" s="22"/>
      <c r="N34" s="22"/>
      <c r="O34" s="22"/>
      <c r="P34" s="22"/>
      <c r="Q34" s="22"/>
    </row>
    <row r="35" spans="1:18" ht="12.75" customHeight="1">
      <c r="A35" s="22" t="s">
        <v>222</v>
      </c>
      <c r="B35" s="22">
        <v>37</v>
      </c>
      <c r="C35" s="22"/>
      <c r="D35" s="22"/>
      <c r="E35" s="22"/>
      <c r="F35" s="22"/>
      <c r="G35" s="22">
        <v>37</v>
      </c>
      <c r="H35" s="22"/>
      <c r="I35" s="22"/>
      <c r="J35" s="22"/>
      <c r="K35" s="22"/>
      <c r="L35" s="22"/>
      <c r="M35" s="22"/>
      <c r="N35" s="22"/>
      <c r="O35" s="22"/>
      <c r="P35" s="22"/>
      <c r="Q35" s="22"/>
    </row>
    <row r="36" spans="1:18" ht="12.75" customHeight="1">
      <c r="A36" s="25" t="s">
        <v>228</v>
      </c>
      <c r="B36" s="23">
        <f>SUM(J36:AV36)</f>
        <v>0</v>
      </c>
      <c r="C36" s="23"/>
      <c r="D36" s="22"/>
      <c r="E36" s="22"/>
      <c r="F36" s="22"/>
      <c r="G36" s="22"/>
      <c r="H36" s="23"/>
      <c r="I36" s="23">
        <v>34</v>
      </c>
      <c r="J36" s="23"/>
      <c r="K36" s="23"/>
      <c r="L36" s="23"/>
      <c r="M36" s="23"/>
      <c r="N36" s="23"/>
      <c r="O36" s="23"/>
      <c r="P36" s="23"/>
      <c r="Q36" s="23"/>
    </row>
    <row r="37" spans="1:18" ht="12.75" customHeight="1">
      <c r="A37" s="25" t="s">
        <v>118</v>
      </c>
      <c r="B37" s="23">
        <f>SUM('Hobused koos'!N73:AV73)</f>
        <v>0</v>
      </c>
      <c r="C37" s="23"/>
      <c r="D37" s="22"/>
      <c r="E37" s="22"/>
      <c r="F37" s="22"/>
      <c r="G37" s="22"/>
      <c r="H37" s="23">
        <v>174</v>
      </c>
      <c r="I37" s="23"/>
      <c r="J37" s="23"/>
      <c r="K37" s="23"/>
      <c r="L37" s="23"/>
      <c r="M37" s="23"/>
      <c r="N37" s="23"/>
      <c r="O37" s="23"/>
      <c r="P37" s="23"/>
      <c r="Q37" s="23"/>
    </row>
    <row r="38" spans="1:18" ht="12.75" customHeight="1">
      <c r="A38" s="23" t="s">
        <v>191</v>
      </c>
      <c r="B38" s="23">
        <v>32</v>
      </c>
      <c r="C38" s="23"/>
      <c r="D38" s="22"/>
      <c r="E38" s="22"/>
      <c r="F38" s="22"/>
      <c r="G38" s="22"/>
      <c r="H38" s="23">
        <v>66</v>
      </c>
      <c r="I38" s="23"/>
      <c r="J38" s="23"/>
      <c r="K38" s="23"/>
      <c r="L38" s="23"/>
      <c r="M38" s="23"/>
      <c r="N38" s="23"/>
      <c r="O38" s="23"/>
      <c r="P38" s="23"/>
      <c r="Q38" s="23"/>
    </row>
    <row r="39" spans="1:18" ht="12.75" customHeight="1">
      <c r="A39" s="23" t="s">
        <v>257</v>
      </c>
      <c r="B39" s="22">
        <v>32</v>
      </c>
      <c r="C39" s="22"/>
      <c r="D39" s="22"/>
      <c r="E39" s="22"/>
      <c r="F39" s="22"/>
      <c r="G39" s="22"/>
      <c r="H39" s="23">
        <v>32</v>
      </c>
      <c r="I39" s="22"/>
      <c r="J39" s="22"/>
      <c r="K39" s="22"/>
      <c r="L39" s="22"/>
      <c r="M39" s="22"/>
      <c r="N39" s="22"/>
      <c r="O39" s="22"/>
      <c r="P39" s="22"/>
      <c r="Q39" s="22"/>
    </row>
    <row r="40" spans="1:18" ht="12.75" customHeight="1">
      <c r="A40" s="22" t="s">
        <v>258</v>
      </c>
      <c r="B40" s="23">
        <v>32</v>
      </c>
      <c r="C40" s="23"/>
      <c r="D40" s="22"/>
      <c r="E40" s="22"/>
      <c r="F40" s="22"/>
      <c r="G40" s="22"/>
      <c r="H40" s="23">
        <v>32</v>
      </c>
      <c r="I40" s="23"/>
      <c r="J40" s="23"/>
      <c r="K40" s="23"/>
      <c r="L40" s="23"/>
      <c r="M40" s="23"/>
      <c r="N40" s="23"/>
      <c r="O40" s="23"/>
      <c r="P40" s="23"/>
      <c r="Q40" s="23"/>
    </row>
    <row r="41" spans="1:18" ht="12.75" customHeight="1">
      <c r="A41" s="23" t="s">
        <v>282</v>
      </c>
      <c r="B41" s="23">
        <f>SUM(J41:AV41)</f>
        <v>0</v>
      </c>
      <c r="C41" s="23"/>
      <c r="D41" s="22"/>
      <c r="E41" s="22"/>
      <c r="F41" s="22"/>
      <c r="G41" s="22"/>
      <c r="H41" s="23"/>
      <c r="I41" s="23">
        <v>30</v>
      </c>
      <c r="J41" s="23"/>
      <c r="K41" s="23"/>
      <c r="L41" s="23"/>
      <c r="M41" s="23"/>
      <c r="N41" s="23"/>
      <c r="O41" s="23"/>
      <c r="P41" s="23"/>
      <c r="Q41" s="23"/>
    </row>
    <row r="42" spans="1:18" ht="12.75" customHeight="1">
      <c r="A42" s="23" t="s">
        <v>283</v>
      </c>
      <c r="B42" s="23">
        <f>SUM(J42:AV42)</f>
        <v>0</v>
      </c>
      <c r="C42" s="23"/>
      <c r="D42" s="22"/>
      <c r="E42" s="22"/>
      <c r="F42" s="22"/>
      <c r="G42" s="22"/>
      <c r="H42" s="23"/>
      <c r="I42" s="23">
        <v>30</v>
      </c>
      <c r="J42" s="23"/>
      <c r="K42" s="23"/>
      <c r="L42" s="23"/>
      <c r="M42" s="23"/>
      <c r="N42" s="23"/>
      <c r="O42" s="23"/>
      <c r="P42" s="23"/>
      <c r="Q42" s="23"/>
    </row>
    <row r="43" spans="1:18" ht="12.75" customHeight="1">
      <c r="A43" s="23" t="s">
        <v>211</v>
      </c>
      <c r="B43" s="22">
        <v>30</v>
      </c>
      <c r="C43" s="22"/>
      <c r="D43" s="22"/>
      <c r="E43" s="22"/>
      <c r="F43" s="22"/>
      <c r="G43" s="22"/>
      <c r="H43" s="22">
        <v>30</v>
      </c>
      <c r="I43" s="22"/>
      <c r="J43" s="22"/>
      <c r="K43" s="22"/>
      <c r="L43" s="22"/>
      <c r="M43" s="22"/>
      <c r="N43" s="22"/>
      <c r="O43" s="22"/>
      <c r="P43" s="22"/>
      <c r="Q43" s="22"/>
    </row>
    <row r="44" spans="1:18" ht="12.75" customHeight="1">
      <c r="A44" s="22" t="s">
        <v>138</v>
      </c>
      <c r="B44" s="23">
        <f>SUM('Hobused koos'!N82:AV82)</f>
        <v>0</v>
      </c>
      <c r="C44" s="23"/>
      <c r="D44" s="22"/>
      <c r="E44" s="22"/>
      <c r="F44" s="22"/>
      <c r="G44" s="22"/>
      <c r="H44" s="23">
        <v>128</v>
      </c>
      <c r="I44" s="23"/>
      <c r="J44" s="23"/>
      <c r="K44" s="23"/>
      <c r="L44" s="23"/>
      <c r="M44" s="23"/>
      <c r="N44" s="23"/>
      <c r="O44" s="23"/>
      <c r="P44" s="23"/>
      <c r="Q44" s="23"/>
    </row>
    <row r="45" spans="1:18" ht="12.75" customHeight="1">
      <c r="A45" s="26" t="s">
        <v>25</v>
      </c>
      <c r="B45" s="24">
        <v>1188.2</v>
      </c>
      <c r="C45" s="27"/>
      <c r="D45" s="28">
        <v>206.2</v>
      </c>
      <c r="E45" s="22">
        <v>428</v>
      </c>
      <c r="F45" s="22">
        <v>522</v>
      </c>
      <c r="G45" s="22">
        <v>32</v>
      </c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</row>
    <row r="46" spans="1:18" ht="12.75" customHeight="1">
      <c r="A46" s="23" t="s">
        <v>36</v>
      </c>
      <c r="B46" s="23">
        <v>638.70000000000005</v>
      </c>
      <c r="C46" s="29"/>
      <c r="D46" s="28"/>
      <c r="E46" s="22"/>
      <c r="F46" s="22">
        <v>44</v>
      </c>
      <c r="G46" s="22">
        <v>98</v>
      </c>
      <c r="H46" s="23">
        <v>360</v>
      </c>
      <c r="I46" s="23">
        <v>213</v>
      </c>
      <c r="J46" s="23">
        <v>240</v>
      </c>
      <c r="K46" s="23"/>
      <c r="L46" s="23"/>
      <c r="M46" s="23"/>
      <c r="N46" s="23"/>
      <c r="O46" s="23"/>
      <c r="P46" s="23"/>
      <c r="Q46" s="23"/>
      <c r="R46" s="22"/>
    </row>
    <row r="47" spans="1:18" ht="12.75" customHeight="1">
      <c r="A47" s="23" t="s">
        <v>44</v>
      </c>
      <c r="B47" s="23">
        <v>614</v>
      </c>
      <c r="C47" s="29"/>
      <c r="D47" s="28"/>
      <c r="E47" s="22"/>
      <c r="F47" s="22"/>
      <c r="G47" s="22">
        <v>135</v>
      </c>
      <c r="H47" s="23">
        <v>286</v>
      </c>
      <c r="I47" s="23">
        <v>193</v>
      </c>
      <c r="J47" s="23"/>
      <c r="K47" s="23"/>
      <c r="L47" s="23"/>
      <c r="M47" s="23"/>
      <c r="N47" s="25"/>
      <c r="O47" s="23"/>
      <c r="P47" s="23"/>
      <c r="Q47" s="23"/>
      <c r="R47" s="22"/>
    </row>
    <row r="48" spans="1:18" ht="12.75" customHeight="1">
      <c r="A48" s="30" t="s">
        <v>55</v>
      </c>
      <c r="B48" s="23">
        <v>522</v>
      </c>
      <c r="C48" s="29"/>
      <c r="D48" s="28"/>
      <c r="E48" s="22"/>
      <c r="F48" s="22">
        <v>301</v>
      </c>
      <c r="G48" s="22">
        <v>221</v>
      </c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</row>
    <row r="49" spans="1:18" ht="12.75" customHeight="1">
      <c r="A49" s="23" t="s">
        <v>68</v>
      </c>
      <c r="B49" s="22">
        <v>472.5</v>
      </c>
      <c r="C49" s="28"/>
      <c r="D49" s="28"/>
      <c r="E49" s="22"/>
      <c r="F49" s="22"/>
      <c r="G49" s="22">
        <v>136</v>
      </c>
      <c r="H49" s="23">
        <v>89</v>
      </c>
      <c r="I49" s="23">
        <v>295</v>
      </c>
      <c r="J49" s="23"/>
      <c r="K49" s="23"/>
      <c r="L49" s="23"/>
      <c r="M49" s="23"/>
      <c r="N49" s="23"/>
      <c r="O49" s="23"/>
      <c r="P49" s="23"/>
      <c r="Q49" s="23"/>
      <c r="R49" s="22"/>
    </row>
    <row r="50" spans="1:18" ht="12.75" customHeight="1">
      <c r="A50" s="22" t="s">
        <v>207</v>
      </c>
      <c r="B50" s="22">
        <v>42</v>
      </c>
      <c r="C50" s="28"/>
      <c r="D50" s="28"/>
      <c r="E50" s="22">
        <v>42</v>
      </c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</row>
    <row r="51" spans="1:18" ht="12.75" customHeight="1">
      <c r="A51" s="23" t="s">
        <v>123</v>
      </c>
      <c r="B51" s="22">
        <v>167</v>
      </c>
      <c r="C51" s="28"/>
      <c r="D51" s="28"/>
      <c r="E51" s="22"/>
      <c r="F51" s="22"/>
      <c r="G51" s="22">
        <v>135</v>
      </c>
      <c r="H51" s="23">
        <v>32</v>
      </c>
      <c r="I51" s="23"/>
      <c r="J51" s="23"/>
      <c r="K51" s="23"/>
      <c r="L51" s="23"/>
      <c r="M51" s="23"/>
      <c r="N51" s="23"/>
      <c r="O51" s="23"/>
      <c r="P51" s="23"/>
      <c r="Q51" s="23"/>
      <c r="R51" s="22"/>
    </row>
  </sheetData>
  <pageMargins left="0.70000000000000007" right="0.70000000000000007" top="1.438976377952756" bottom="1.438976377952756" header="1.045275590551181" footer="1.045275590551181"/>
  <pageSetup paperSize="0" fitToWidth="0" fitToHeight="0" pageOrder="overThenDown" orientation="portrait" horizontalDpi="0" verticalDpi="0" copies="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477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Hobused koos</vt:lpstr>
      <vt:lpstr>aegunud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 Maldre</dc:creator>
  <cp:lastModifiedBy>Lauri Maldre</cp:lastModifiedBy>
  <cp:revision>29</cp:revision>
  <dcterms:created xsi:type="dcterms:W3CDTF">2017-08-25T07:54:43Z</dcterms:created>
  <dcterms:modified xsi:type="dcterms:W3CDTF">2017-08-25T07:54:43Z</dcterms:modified>
</cp:coreProperties>
</file>